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1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20.xml.rels" ContentType="application/vnd.openxmlformats-package.relationships+xml"/>
  <Override PartName="/xl/worksheets/_rels/sheet7.xml.rels" ContentType="application/vnd.openxmlformats-package.relationships+xml"/>
  <Override PartName="/xl/worksheets/_rels/sheet21.xml.rels" ContentType="application/vnd.openxmlformats-package.relationships+xml"/>
  <Override PartName="/xl/worksheets/_rels/sheet8.xml.rels" ContentType="application/vnd.openxmlformats-package.relationships+xml"/>
  <Override PartName="/xl/worksheets/_rels/sheet22.xml.rels" ContentType="application/vnd.openxmlformats-package.relationships+xml"/>
  <Override PartName="/xl/worksheets/_rels/sheet9.xml.rels" ContentType="application/vnd.openxmlformats-package.relationships+xml"/>
  <Override PartName="/xl/worksheets/_rels/sheet10.xml.rels" ContentType="application/vnd.openxmlformats-package.relationships+xml"/>
  <Override PartName="/xl/worksheets/_rels/sheet12.xml.rels" ContentType="application/vnd.openxmlformats-package.relationships+xml"/>
  <Override PartName="/xl/worksheets/_rels/sheet13.xml.rels" ContentType="application/vnd.openxmlformats-package.relationships+xml"/>
  <Override PartName="/xl/worksheets/_rels/sheet14.xml.rels" ContentType="application/vnd.openxmlformats-package.relationships+xml"/>
  <Override PartName="/xl/worksheets/_rels/sheet15.xml.rels" ContentType="application/vnd.openxmlformats-package.relationships+xml"/>
  <Override PartName="/xl/worksheets/_rels/sheet16.xml.rels" ContentType="application/vnd.openxmlformats-package.relationships+xml"/>
  <Override PartName="/xl/worksheets/_rels/sheet17.xml.rels" ContentType="application/vnd.openxmlformats-package.relationships+xml"/>
  <Override PartName="/xl/worksheets/_rels/sheet18.xml.rels" ContentType="application/vnd.openxmlformats-package.relationships+xml"/>
  <Override PartName="/xl/worksheets/_rels/sheet19.xml.rels" ContentType="application/vnd.openxmlformats-package.relationships+xml"/>
  <Override PartName="/xl/worksheets/_rels/sheet23.xml.rels" ContentType="application/vnd.openxmlformats-package.relationships+xml"/>
  <Override PartName="/xl/worksheets/_rels/sheet24.xml.rels" ContentType="application/vnd.openxmlformats-package.relationships+xml"/>
  <Override PartName="/xl/worksheets/_rels/sheet25.xml.rels" ContentType="application/vnd.openxmlformats-package.relationships+xml"/>
  <Override PartName="/xl/worksheets/_rels/sheet26.xml.rels" ContentType="application/vnd.openxmlformats-package.relationships+xml"/>
  <Override PartName="/xl/worksheets/_rels/sheet27.xml.rels" ContentType="application/vnd.openxmlformats-package.relationships+xml"/>
  <Override PartName="/xl/worksheets/_rels/sheet28.xml.rels" ContentType="application/vnd.openxmlformats-package.relationships+xml"/>
  <Override PartName="/xl/worksheets/_rels/sheet29.xml.rels" ContentType="application/vnd.openxmlformats-package.relationships+xml"/>
  <Override PartName="/xl/worksheets/_rels/sheet30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91.png" ContentType="image/png"/>
  <Override PartName="/xl/media/image86.png" ContentType="image/png"/>
  <Override PartName="/xl/media/image92.png" ContentType="image/png"/>
  <Override PartName="/xl/media/image87.png" ContentType="image/png"/>
  <Override PartName="/xl/media/image93.png" ContentType="image/png"/>
  <Override PartName="/xl/media/image88.png" ContentType="image/png"/>
  <Override PartName="/xl/media/image94.png" ContentType="image/png"/>
  <Override PartName="/xl/media/image89.png" ContentType="image/png"/>
  <Override PartName="/xl/media/image90.png" ContentType="image/png"/>
  <Override PartName="/xl/media/image100.png" ContentType="image/png"/>
  <Override PartName="/xl/media/image95.png" ContentType="image/png"/>
  <Override PartName="/xl/media/image101.png" ContentType="image/png"/>
  <Override PartName="/xl/media/image96.png" ContentType="image/png"/>
  <Override PartName="/xl/media/image102.png" ContentType="image/png"/>
  <Override PartName="/xl/media/image97.png" ContentType="image/png"/>
  <Override PartName="/xl/media/image103.png" ContentType="image/png"/>
  <Override PartName="/xl/media/image98.png" ContentType="image/png"/>
  <Override PartName="/xl/media/image104.png" ContentType="image/png"/>
  <Override PartName="/xl/media/image99.png" ContentType="image/png"/>
  <Override PartName="/xl/media/image105.png" ContentType="image/png"/>
  <Override PartName="/xl/media/image106.png" ContentType="image/png"/>
  <Override PartName="/xl/media/image107.png" ContentType="image/png"/>
  <Override PartName="/xl/media/image108.png" ContentType="image/png"/>
  <Override PartName="/xl/media/image109.png" ContentType="image/png"/>
  <Override PartName="/xl/media/image110.png" ContentType="image/png"/>
  <Override PartName="/xl/media/image111.png" ContentType="image/png"/>
  <Override PartName="/xl/media/image112.png" ContentType="image/png"/>
  <Override PartName="/xl/media/image113.png" ContentType="image/png"/>
  <Override PartName="/xl/sharedStrings.xml" ContentType="application/vnd.openxmlformats-officedocument.spreadsheetml.sharedStrings+xml"/>
  <Override PartName="/xl/drawings/drawing9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_rels/drawing26.xml.rels" ContentType="application/vnd.openxmlformats-package.relationships+xml"/>
  <Override PartName="/xl/drawings/_rels/drawing9.xml.rels" ContentType="application/vnd.openxmlformats-package.relationships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20.xml.rels" ContentType="application/vnd.openxmlformats-package.relationships+xml"/>
  <Override PartName="/xl/drawings/_rels/drawing3.xml.rels" ContentType="application/vnd.openxmlformats-package.relationships+xml"/>
  <Override PartName="/xl/drawings/_rels/drawing21.xml.rels" ContentType="application/vnd.openxmlformats-package.relationships+xml"/>
  <Override PartName="/xl/drawings/_rels/drawing4.xml.rels" ContentType="application/vnd.openxmlformats-package.relationships+xml"/>
  <Override PartName="/xl/drawings/_rels/drawing22.xml.rels" ContentType="application/vnd.openxmlformats-package.relationships+xml"/>
  <Override PartName="/xl/drawings/_rels/drawing5.xml.rels" ContentType="application/vnd.openxmlformats-package.relationships+xml"/>
  <Override PartName="/xl/drawings/_rels/drawing23.xml.rels" ContentType="application/vnd.openxmlformats-package.relationships+xml"/>
  <Override PartName="/xl/drawings/_rels/drawing6.xml.rels" ContentType="application/vnd.openxmlformats-package.relationships+xml"/>
  <Override PartName="/xl/drawings/_rels/drawing24.xml.rels" ContentType="application/vnd.openxmlformats-package.relationships+xml"/>
  <Override PartName="/xl/drawings/_rels/drawing7.xml.rels" ContentType="application/vnd.openxmlformats-package.relationships+xml"/>
  <Override PartName="/xl/drawings/_rels/drawing25.xml.rels" ContentType="application/vnd.openxmlformats-package.relationships+xml"/>
  <Override PartName="/xl/drawings/_rels/drawing8.xml.rels" ContentType="application/vnd.openxmlformats-package.relationships+xml"/>
  <Override PartName="/xl/drawings/_rels/drawing10.xml.rels" ContentType="application/vnd.openxmlformats-package.relationships+xml"/>
  <Override PartName="/xl/drawings/_rels/drawing11.xml.rels" ContentType="application/vnd.openxmlformats-package.relationships+xml"/>
  <Override PartName="/xl/drawings/_rels/drawing12.xml.rels" ContentType="application/vnd.openxmlformats-package.relationships+xml"/>
  <Override PartName="/xl/drawings/_rels/drawing13.xml.rels" ContentType="application/vnd.openxmlformats-package.relationships+xml"/>
  <Override PartName="/xl/drawings/_rels/drawing14.xml.rels" ContentType="application/vnd.openxmlformats-package.relationships+xml"/>
  <Override PartName="/xl/drawings/_rels/drawing15.xml.rels" ContentType="application/vnd.openxmlformats-package.relationships+xml"/>
  <Override PartName="/xl/drawings/_rels/drawing16.xml.rels" ContentType="application/vnd.openxmlformats-package.relationships+xml"/>
  <Override PartName="/xl/drawings/_rels/drawing17.xml.rels" ContentType="application/vnd.openxmlformats-package.relationships+xml"/>
  <Override PartName="/xl/drawings/_rels/drawing18.xml.rels" ContentType="application/vnd.openxmlformats-package.relationships+xml"/>
  <Override PartName="/xl/drawings/_rels/drawing19.xml.rels" ContentType="application/vnd.openxmlformats-package.relationships+xml"/>
  <Override PartName="/xl/drawings/_rels/drawing27.xml.rels" ContentType="application/vnd.openxmlformats-package.relationships+xml"/>
  <Override PartName="/xl/drawings/_rels/drawing28.xml.rels" ContentType="application/vnd.openxmlformats-package.relationship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vmlDrawing1.vml" ContentType="application/vnd.openxmlformats-officedocument.vmlDrawing"/>
  <Override PartName="/xl/comments30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9"/>
  </bookViews>
  <sheets>
    <sheet name="MODELO" sheetId="1" state="visible" r:id="rId2"/>
    <sheet name="Dados" sheetId="2" state="visible" r:id="rId3"/>
    <sheet name="Alegrete 1.1" sheetId="3" state="visible" r:id="rId4"/>
    <sheet name="Alegrete 1.2" sheetId="4" state="visible" r:id="rId5"/>
    <sheet name="Alegrete 1.4" sheetId="5" state="visible" r:id="rId6"/>
    <sheet name="Alegrete 1.3" sheetId="6" state="visible" r:id="rId7"/>
    <sheet name="Bagé 2.1" sheetId="7" state="visible" r:id="rId8"/>
    <sheet name="Bagé 2.2" sheetId="8" state="visible" r:id="rId9"/>
    <sheet name="Bagé 2.2 (a)" sheetId="9" state="visible" r:id="rId10"/>
    <sheet name="Bagé 2.3" sheetId="10" state="visible" r:id="rId11"/>
    <sheet name="Caçapava 3.1" sheetId="11" state="visible" r:id="rId12"/>
    <sheet name="Dom Pedrito 4.1" sheetId="12" state="visible" r:id="rId13"/>
    <sheet name="Dom Pedrito 4.2" sheetId="13" state="visible" r:id="rId14"/>
    <sheet name="Itaqui 5.1" sheetId="14" state="visible" r:id="rId15"/>
    <sheet name="Itaqui 5.2" sheetId="15" state="visible" r:id="rId16"/>
    <sheet name="Jaguarão 6.1" sheetId="16" state="visible" r:id="rId17"/>
    <sheet name="Livramento 7.1" sheetId="17" state="visible" r:id="rId18"/>
    <sheet name="Livramento 7.2" sheetId="18" state="visible" r:id="rId19"/>
    <sheet name="Livramento 7.3" sheetId="19" state="visible" r:id="rId20"/>
    <sheet name="Livramento 7.4" sheetId="20" state="visible" r:id="rId21"/>
    <sheet name="São Borja 8.1" sheetId="21" state="visible" r:id="rId22"/>
    <sheet name="São Gabriel 9.1" sheetId="22" state="visible" r:id="rId23"/>
    <sheet name="São Gabriel 9.2" sheetId="23" state="visible" r:id="rId24"/>
    <sheet name="Uruguaiana 10.1" sheetId="24" state="visible" r:id="rId25"/>
    <sheet name="Uruguaiana 10.2" sheetId="25" state="visible" r:id="rId26"/>
    <sheet name="Uruguaiana10.3" sheetId="26" state="visible" r:id="rId27"/>
    <sheet name="Uruguaiana10.4" sheetId="27" state="visible" r:id="rId28"/>
    <sheet name="Reitoria 11.1" sheetId="28" state="visible" r:id="rId29"/>
    <sheet name="Reitoria 11.2" sheetId="29" state="visible" r:id="rId30"/>
    <sheet name="Resumo" sheetId="30" state="visible" r:id="rId31"/>
    <sheet name="Plan1" sheetId="31" state="visible" r:id="rId32"/>
    <sheet name="Planilha32" sheetId="32" state="visible" r:id="rId33"/>
  </sheets>
  <definedNames>
    <definedName function="false" hidden="false" localSheetId="4" name="_xlnm.Print_Area" vbProcedure="false">'Alegrete 1.4'!$A$1:$I$151</definedName>
    <definedName function="false" hidden="false" localSheetId="19" name="_xlnm.Print_Area" vbProcedure="false">'Livramento 7.4'!$A$1:$K$153</definedName>
    <definedName function="false" hidden="false" localSheetId="4" name="pcfp" vbProcedure="false">'Alegrete 1.4'!$A$1:$I$151</definedName>
    <definedName function="false" hidden="false" localSheetId="4" name="pcfp_portaria" vbProcedure="false">'Alegrete 1.4'!$A$1:$I$151</definedName>
    <definedName function="false" hidden="false" localSheetId="4" name="Print_Area_0" vbProcedure="false">'Alegrete 1.4'!$A$1:$I$151</definedName>
    <definedName function="false" hidden="false" localSheetId="4" name="Print_Area_0_0" vbProcedure="false">'Alegrete 1.4'!$A$1:$I$151</definedName>
    <definedName function="false" hidden="false" localSheetId="4" name="Print_Area_0_0_0" vbProcedure="false">'Alegrete 1.4'!$A$1:$I$151</definedName>
    <definedName function="false" hidden="false" localSheetId="4" name="Print_Area_0_0_0_0" vbProcedure="false">'Alegrete 1.4'!$A$1:$I$151</definedName>
    <definedName function="false" hidden="false" localSheetId="4" name="Print_Area_0_0_0_0_0" vbProcedure="false">'Alegrete 1.4'!$A$1:$I$151</definedName>
    <definedName function="false" hidden="false" localSheetId="4" name="Print_Area_0_0_0_0_0_0" vbProcedure="false">'Alegrete 1.4'!$A$1:$I$151</definedName>
    <definedName function="false" hidden="false" localSheetId="4" name="Print_Area_0_0_0_0_0_0_0" vbProcedure="false">'Alegrete 1.4'!$A$1:$I$151</definedName>
    <definedName function="false" hidden="false" localSheetId="4" name="Print_Area_0_0_0_0_0_0_0_0" vbProcedure="false">'Alegrete 1.4'!$A$1:$I$151</definedName>
    <definedName function="false" hidden="false" localSheetId="4" name="Print_Area_0_0_0_0_0_0_0_0_0" vbProcedure="false">'Alegrete 1.4'!$A$1:$I$151</definedName>
    <definedName function="false" hidden="false" localSheetId="4" name="Print_Area_0_0_0_0_0_0_0_0_0_0" vbProcedure="false">'Alegrete 1.4'!$A$1:$I$151</definedName>
    <definedName function="false" hidden="false" localSheetId="4" name="Print_Area_0_0_0_0_0_0_0_0_0_0_0" vbProcedure="false">'Alegrete 1.4'!$A$1:$I$151</definedName>
    <definedName function="false" hidden="false" localSheetId="4" name="Print_Area_0_0_0_0_0_0_0_0_0_0_0_0" vbProcedure="false">'Alegrete 1.4'!$A$1:$I$151</definedName>
    <definedName function="false" hidden="false" localSheetId="4" name="Print_Area_0_0_0_0_0_0_0_0_0_0_0_0_0" vbProcedure="false">'Alegrete 1.4'!$A$1:$I$151</definedName>
    <definedName function="false" hidden="false" localSheetId="4" name="Print_Area_0_0_0_0_0_0_0_0_0_0_0_0_0_0" vbProcedure="false">'Alegrete 1.4'!$A$1:$I$151</definedName>
    <definedName function="false" hidden="false" localSheetId="4" name="Print_Area_0_0_0_0_0_0_0_0_0_0_0_0_0_0_0" vbProcedure="false">'Alegrete 1.4'!$A$1:$I$151</definedName>
    <definedName function="false" hidden="false" localSheetId="4" name="Print_Area_0_0_0_0_0_0_0_0_0_0_0_0_0_0_0_0" vbProcedure="false">'Alegrete 1.4'!$A$1:$I$151</definedName>
    <definedName function="false" hidden="false" localSheetId="4" name="Print_Area_0_0_0_0_0_0_0_0_0_0_0_0_0_0_0_0_0" vbProcedure="false">'Alegrete 1.4'!$A$1:$I$151</definedName>
    <definedName function="false" hidden="false" localSheetId="4" name="Print_Area_0_0_0_0_0_0_0_0_0_0_0_0_0_0_0_0_0_0" vbProcedure="false">'Alegrete 1.4'!$A$1:$I$151</definedName>
    <definedName function="false" hidden="false" localSheetId="4" name="_xlnm.Print_Area" vbProcedure="false">'Alegrete 1.4'!$A$1:$I$151</definedName>
    <definedName function="false" hidden="false" localSheetId="4" name="_xlnm.Print_Area_0" vbProcedure="false">'Alegrete 1.4'!$A$1:$I$151</definedName>
    <definedName function="false" hidden="false" localSheetId="4" name="_xlnm.Print_Area_0_0" vbProcedure="false">'Alegrete 1.4'!$A$1:$I$151</definedName>
    <definedName function="false" hidden="false" localSheetId="4" name="_xlnm.Print_Area_0_0_0" vbProcedure="false">'Alegrete 1.4'!$A$1:$I$151</definedName>
    <definedName function="false" hidden="false" localSheetId="4" name="_xlnm.Print_Area_0_0_0_0" vbProcedure="false">'Alegrete 1.4'!$A$1:$I$151</definedName>
    <definedName function="false" hidden="false" localSheetId="4" name="_xlnm.Print_Area_0_0_0_0_0" vbProcedure="false">'Alegrete 1.4'!$A$1:$I$151</definedName>
    <definedName function="false" hidden="false" localSheetId="19" name="Print_Area_0" vbProcedure="false">'Livramento 7.4'!$A$1:$K$153</definedName>
    <definedName function="false" hidden="false" localSheetId="19" name="Print_Area_0_0" vbProcedure="false">'Livramento 7.4'!$A$1:$K$153</definedName>
    <definedName function="false" hidden="false" localSheetId="19" name="_xlnm.Print_Area" vbProcedure="false">'Livramento 7.4'!$A$1:$K$153</definedName>
    <definedName function="false" hidden="false" localSheetId="19" name="_xlnm.Print_Area_0" vbProcedure="false">'Livramento 7.4'!$A$1:$K$153</definedName>
    <definedName function="false" hidden="false" localSheetId="19" name="_xlnm.Print_Area_0_0" vbProcedure="false">'Livramento 7.4'!$A$1:$K$153</definedName>
    <definedName function="false" hidden="false" localSheetId="19" name="_xlnm.Print_Area_0_0_0" vbProcedure="false">'Livramento 7.4'!$A$1:$K$153</definedName>
    <definedName function="false" hidden="false" localSheetId="19" name="_xlnm.Print_Area_0_0_0_0" vbProcedure="false">'Livramento 7.4'!$A$1:$K$153</definedName>
    <definedName function="false" hidden="false" localSheetId="19" name="_xlnm.Print_Area_0_0_0_0_0" vbProcedure="false">'Livramento 7.4'!$A$1:$K$153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30.xml><?xml version="1.0" encoding="utf-8"?>
<comments xmlns="http://schemas.openxmlformats.org/spreadsheetml/2006/main" xmlns:xdr="http://schemas.openxmlformats.org/drawingml/2006/spreadsheetDrawing">
  <authors>
    <author/>
  </authors>
  <commentList>
    <comment ref="C14" authorId="0">
      <text>
        <r>
          <rPr>
            <sz val="9"/>
            <color rgb="FF000000"/>
            <rFont val="SimSun"/>
            <family val="0"/>
            <charset val="1"/>
          </rPr>
          <t xml:space="preserve">Implantado um posto que "aguarda autorização" a partir de 21 de novembro 2015.</t>
        </r>
      </text>
    </comment>
    <comment ref="C17" authorId="0">
      <text>
        <r>
          <rPr>
            <sz val="9"/>
            <color rgb="FF000000"/>
            <rFont val="SimSun"/>
            <family val="0"/>
            <charset val="1"/>
          </rPr>
          <t xml:space="preserve">Os dois postos que eram: "Segunda à sexta-feira, das 07h às 23h, e aos sábados, das 07h às 19h", foram desmembrados em: " 01 posto de Segunda à sexta-feira, das 07h às 23h, e aos sábados, das 07h às 19h;  01 posto de Segunda à sexta-feira, das 07h às 23h e aos domingos das 07h às 19h - em revezamento"</t>
        </r>
      </text>
    </comment>
    <comment ref="C19" authorId="0">
      <text>
        <r>
          <rPr>
            <sz val="9"/>
            <color rgb="FF000000"/>
            <rFont val="SimSun"/>
            <family val="0"/>
            <charset val="1"/>
          </rPr>
          <t xml:space="preserve">O posto que era: Segunda à sexta-feira, das 09h às 17h, e aos sábados, das 08h às 12h; passou para: Segunda à quinta-feira, das 09h às 17h, sexta-feira, das 08h às 12h, e aos sábados, das 08h às 16h.
Não houve alteração de valores</t>
        </r>
      </text>
    </comment>
  </commentList>
</comments>
</file>

<file path=xl/sharedStrings.xml><?xml version="1.0" encoding="utf-8"?>
<sst xmlns="http://schemas.openxmlformats.org/spreadsheetml/2006/main" count="6943" uniqueCount="389">
  <si>
    <t xml:space="preserve">Regime de Tributação:</t>
  </si>
  <si>
    <t xml:space="preserve">ANEXO III</t>
  </si>
  <si>
    <t xml:space="preserve">PLANILHA DE CUSTOS E FORMAÇÃO DE PREÇOS</t>
  </si>
  <si>
    <t xml:space="preserve">UNIVERSIDADE FEDERAL DO PAMPA - UNIPAMPA</t>
  </si>
  <si>
    <t xml:space="preserve">Nº Processo:</t>
  </si>
  <si>
    <t xml:space="preserve">Nº Licitação:</t>
  </si>
  <si>
    <t xml:space="preserve">Data:</t>
  </si>
  <si>
    <t xml:space="preserve">DISCRIMINAÇÃO DOS SERVIÇOS</t>
  </si>
  <si>
    <t xml:space="preserve">A</t>
  </si>
  <si>
    <t xml:space="preserve">Data da Apresentação da Proposta:</t>
  </si>
  <si>
    <t xml:space="preserve">B</t>
  </si>
  <si>
    <t xml:space="preserve">Município/UF</t>
  </si>
  <si>
    <t xml:space="preserve">C</t>
  </si>
  <si>
    <t xml:space="preserve">Ano Acordo, Convenção ou Sentença Normativa em Dissídio Coletivo (CCT de referência para a Administração preencher sua planilha)</t>
  </si>
  <si>
    <t xml:space="preserve">D</t>
  </si>
  <si>
    <t xml:space="preserve">Nº de meses de execução contratual</t>
  </si>
  <si>
    <t xml:space="preserve">IDENTIFICAÇÃO DO SERVIÇO</t>
  </si>
  <si>
    <t xml:space="preserve">Tipo de SERVIÇO</t>
  </si>
  <si>
    <t xml:space="preserve">Unidade de Medida</t>
  </si>
  <si>
    <t xml:space="preserve">Quantidade Total a Contratar</t>
  </si>
  <si>
    <t xml:space="preserve">Agente de Portaria - CBO 5174</t>
  </si>
  <si>
    <t xml:space="preserve">POSTO</t>
  </si>
  <si>
    <t xml:space="preserve">ANEXO ---A</t>
  </si>
  <si>
    <t xml:space="preserve">Mão de Obra Vinculada à Execução Contratual</t>
  </si>
  <si>
    <t xml:space="preserve">DADOS COMPLEMENTARES PARA COMPOSIÇÃO DOS CUSTOS REFERENTES À MÃO-DE OBRA</t>
  </si>
  <si>
    <t xml:space="preserve">Tipo de Serviço (mesmo serviço com características distintas)</t>
  </si>
  <si>
    <t xml:space="preserve">Agente de Portaria</t>
  </si>
  <si>
    <t xml:space="preserve">Salário Normativo da categoria profissional (jornada44h/semanais)</t>
  </si>
  <si>
    <t xml:space="preserve">Categoria profissional (vinculada à execução contratual) (CBO 5174)</t>
  </si>
  <si>
    <t xml:space="preserve">Data base da categoria (dia/mês/ano)</t>
  </si>
  <si>
    <t xml:space="preserve">Valor da hora trabalhada (R$/hora) (Valor do salário normativo / 220 h)</t>
  </si>
  <si>
    <t xml:space="preserve">Valor da hora extra com 50% (Valor da hora + 50%)</t>
  </si>
  <si>
    <t xml:space="preserve">Valor do Adicional Noturno (hora) (valor da hora x 20%)</t>
  </si>
  <si>
    <t xml:space="preserve">MÓDULO 1: COMPOSIÇÃO DA REMUNERAÇÃO</t>
  </si>
  <si>
    <t xml:space="preserve">Composição da Remuneração</t>
  </si>
  <si>
    <t xml:space="preserve">Valor (R$)</t>
  </si>
  <si>
    <t xml:space="preserve">Salário Base  (valor para 2 porteiros)</t>
  </si>
  <si>
    <t xml:space="preserve">Adicional Noturno e Hora Noturna Adicional  Cálculo do valor: (Adic. Not. (Hora) x 10,29h (9h x (60/52,5) x nº de dias trabalhados x n° porteiros)</t>
  </si>
  <si>
    <t xml:space="preserve">Hora Reduzida Noturna como extra  Cálculo do valor: (valor da HE 50% x nº horas extras mensal (*13,29h) x 2 porteiros)… *13,29h = [3+(9*(60/52,5))] x nº dias trabalhados - 186h (limite horas mensal, conforme cláusula 42ª da CCT)</t>
  </si>
  <si>
    <t xml:space="preserve">Adicional de Intervalo Cálculo do Valor: (valor da HE 50% x nº dias trabalhados x nº de porteiros)</t>
  </si>
  <si>
    <t xml:space="preserve">E</t>
  </si>
  <si>
    <t xml:space="preserve">Pagamento em dobro em feriados (Súmula TST n° 444) Cálculo do valor: (considerando 11 feriados por ano: 9 nacionais, 1 estadual e 1 municipal) = 11/12= 0,92 feriados por mês e 12h em dobro. Cálculo do Valor = (Valor Hora x 12 x 0,92)</t>
  </si>
  <si>
    <t xml:space="preserve">F</t>
  </si>
  <si>
    <t xml:space="preserve">DSR (Descanso Semanal Remunerado) Cálculo do valor: 20% sobre os adicionais pertinentes</t>
  </si>
  <si>
    <t xml:space="preserve">Total da Remuneração</t>
  </si>
  <si>
    <t xml:space="preserve">MÓDULO 2: BENEFÍCIOS MENSAIS E DIÁRIOS</t>
  </si>
  <si>
    <t xml:space="preserve">Benefícios Mensais e Diários</t>
  </si>
  <si>
    <t xml:space="preserve">Transporte Cálculo do Valor = [(n°porteiros x n° vales dia x valor VT x n° dias) - (6% x SB)]</t>
  </si>
  <si>
    <t xml:space="preserve">A1)Valor da passagem do transporte coletivo no município de prestação de serviço</t>
  </si>
  <si>
    <t xml:space="preserve">A2)Quantidade de passagens por dia por empregado</t>
  </si>
  <si>
    <t xml:space="preserve">Auxílio alimentação/lanche Cálculo do Valor = (n° porteiros x n° dias x VA)x(1-0,175)</t>
  </si>
  <si>
    <t xml:space="preserve">B1)Valor do auxílio alimentação/lanche (CCT Cláusula 23)</t>
  </si>
  <si>
    <t xml:space="preserve">Plano de Benefício Familiar (CCT Cláusula 25) Cálculo do Valor = (R$8,46 x nº de porteiros)</t>
  </si>
  <si>
    <t xml:space="preserve">Total de Benefícios Mensais e Diários</t>
  </si>
  <si>
    <t xml:space="preserve">Nota: o valor informado deverá ser o custo real do insumo (descontado o valor eventualmente pago pelo empregado).</t>
  </si>
  <si>
    <t xml:space="preserve">MÓDULO 3: INSUMOS DIVERSOS</t>
  </si>
  <si>
    <t xml:space="preserve">INSUMOS DIVERSOS</t>
  </si>
  <si>
    <t xml:space="preserve">Uniformes  Cálculo do Valor = (valor uniforme x nº de porteiros)</t>
  </si>
  <si>
    <t xml:space="preserve">Total de Insumos Diversos</t>
  </si>
  <si>
    <t xml:space="preserve">MÓDULO4: ENCARGOS SOCIAIS E TRABALHISTAS</t>
  </si>
  <si>
    <t xml:space="preserve">SUBMÓDULO 4.1 - Encargos Previdenciários, FGTS e outras contribuições</t>
  </si>
  <si>
    <t xml:space="preserve">4.1</t>
  </si>
  <si>
    <t xml:space="preserve">Encargos Previdenciários, FGTS e outras contribuições</t>
  </si>
  <si>
    <t xml:space="preserve">%</t>
  </si>
  <si>
    <t xml:space="preserve">INSS</t>
  </si>
  <si>
    <t xml:space="preserve">SESI ou SESC</t>
  </si>
  <si>
    <t xml:space="preserve">SENAI ou SENAC</t>
  </si>
  <si>
    <t xml:space="preserve">INCRA</t>
  </si>
  <si>
    <t xml:space="preserve">Salário Educação</t>
  </si>
  <si>
    <t xml:space="preserve">FGTS</t>
  </si>
  <si>
    <t xml:space="preserve">G</t>
  </si>
  <si>
    <t xml:space="preserve">Seguro acidente de trabalho (RATxFAP)</t>
  </si>
  <si>
    <t xml:space="preserve">RAT=3%</t>
  </si>
  <si>
    <t xml:space="preserve">FAP=1</t>
  </si>
  <si>
    <t xml:space="preserve">H</t>
  </si>
  <si>
    <t xml:space="preserve">SEBRAE</t>
  </si>
  <si>
    <t xml:space="preserve">TOTAL</t>
  </si>
  <si>
    <t xml:space="preserve">Nota (1): Os percentuais dos encargos Previdenciários e FGTS são aqueles estabelecidos pela legislação vigente.</t>
  </si>
  <si>
    <t xml:space="preserve">Nota (2):Percentuais incidentes sobre a remuneração.</t>
  </si>
  <si>
    <t xml:space="preserve">SUBMÓDULO 4.2 - 13° Salário</t>
  </si>
  <si>
    <t xml:space="preserve">4.2</t>
  </si>
  <si>
    <t xml:space="preserve">13° Salário</t>
  </si>
  <si>
    <t xml:space="preserve">13° Salário - Obrigatória a cotação de 8,33% (=Rem/12) sobre o valor do Módulo 1 - Composição da remuneração, conforme art.19-A e Anexo VII da IN 02/2008.</t>
  </si>
  <si>
    <t xml:space="preserve">Subtotal</t>
  </si>
  <si>
    <t xml:space="preserve">Incidência do submódulo 4.1 sobre 13° Salário</t>
  </si>
  <si>
    <t xml:space="preserve">SUBMÓDULO 4.3 - Afastamento Maternidade</t>
  </si>
  <si>
    <t xml:space="preserve">4.3</t>
  </si>
  <si>
    <t xml:space="preserve">Afastamento Maternidade</t>
  </si>
  <si>
    <t xml:space="preserve">Afastamento Maternidade   Cálculo do Valor = {[(Rem. + 1/3 Rem.) x (4/12)]/12} x 2%</t>
  </si>
  <si>
    <t xml:space="preserve">Incidência do submódulo 4.1 sobre o afastamento maternidade</t>
  </si>
  <si>
    <t xml:space="preserve">SUBMÓDULO 4.4 - Provisão para Rescisão</t>
  </si>
  <si>
    <t xml:space="preserve">4.4</t>
  </si>
  <si>
    <t xml:space="preserve">Provisão para Rescisão</t>
  </si>
  <si>
    <t xml:space="preserve">Aviso-prévio indenizado Cálculo = (rem/12)x(n° dias de indenização/30) x 5%</t>
  </si>
  <si>
    <t xml:space="preserve">Incidência do FGTS sobre o aviso - prévio indenizado</t>
  </si>
  <si>
    <t xml:space="preserve">Multa do FGTS e CS do aviso-prévio indenizado - Obrigatória a cotação de 0,24% sobre o valor do Módulo 1 - Composição da Remuneração, conforme art. 19-A e Anexo VII da IN 02/08 (0,24% + 4,76% = 5%).</t>
  </si>
  <si>
    <t xml:space="preserve">Aviso-prévio trabalhado  (negociar a extinção/redução na 1ª prorrogação)  Cálculo do valor = [(Rem/30) x 7dias]/12 meses do contrato</t>
  </si>
  <si>
    <t xml:space="preserve">Incidência do submódulo 4.1 sobre o aviso-prévio trabalhado</t>
  </si>
  <si>
    <t xml:space="preserve">Multa sobre o FGTS  e contribuições sociais sobre o aviso prévio-trabalhado - Obrigatória a cotação de 4,76% sobre o valor do Módulo 1 - Composição da Remuneração, conforme art. 19-A e Anexo VII da IN 02/08 (0,24% + 4,76% = 5%)</t>
  </si>
  <si>
    <t xml:space="preserve">SUBMÓDULO 4.5 - Custo de Reposição do Profissional Ausente</t>
  </si>
  <si>
    <t xml:space="preserve">4.5</t>
  </si>
  <si>
    <t xml:space="preserve">Composiçao do Custo de Reposição do Profissional Ausente</t>
  </si>
  <si>
    <t xml:space="preserve">Férias e Adicional de Férias - Obrigatória a cotação de 12,10% sobre o valor do Módulo 1 - Composição da remuneração, conforme art. 19-A e Anexo VII da IN 02/08 (Férias + Adicional = 12,10% = 9,075% + 3,025%)</t>
  </si>
  <si>
    <t xml:space="preserve">Ausência por doença Cálculo do Valor = [(Rem./30) x 5dias]/12</t>
  </si>
  <si>
    <t xml:space="preserve">Licença Paternidade Cálculo do valor =  {[(Rem/30) x 5dias]/12} x 1,5%</t>
  </si>
  <si>
    <t xml:space="preserve">Ausências Legais  Cálculo do Valor = [(Rem/30) x 2,96dias]/12</t>
  </si>
  <si>
    <t xml:space="preserve">Ausência por acidente de trabalho Cálculo do Valor = {[(Rem/30) x 15 dias]/12} x 0,78%</t>
  </si>
  <si>
    <t xml:space="preserve">Incidência do submódulo 4.1 sobre o Custo de Reposição</t>
  </si>
  <si>
    <t xml:space="preserve">QUADRO RESUMO - MÓDULO 4 - Encargos Sociais e Trabalhistas</t>
  </si>
  <si>
    <t xml:space="preserve">Módulo 4 - Encargos Sociais e Trabalhistas</t>
  </si>
  <si>
    <t xml:space="preserve">13° salário</t>
  </si>
  <si>
    <t xml:space="preserve">Custo de rescisão</t>
  </si>
  <si>
    <t xml:space="preserve">Custo de reposição do profissional ausente</t>
  </si>
  <si>
    <t xml:space="preserve">MÓDULO5: CUSTOS INDIRETOS, LUCRO E TRIBUTOS</t>
  </si>
  <si>
    <t xml:space="preserve">Custos Indiretos, Lucro e Tributos</t>
  </si>
  <si>
    <t xml:space="preserve">Base de Cálculo dos Custos Indiretos = (total da rem.+total dos benefícios mensais e diários+total de insumos diversos+total do quadro resumo do módulo 4 de encargos sociais e trabalhistas)</t>
  </si>
  <si>
    <t xml:space="preserve">Custos Indiretos</t>
  </si>
  <si>
    <t xml:space="preserve">Base de Cálculo do Lucro = (total da rem.+total dos benefícios mensais e diários+total de insumos diversos+total do quadro resumo do módulo 4 de encargos sociais e trabalhistas + custos indiretos )</t>
  </si>
  <si>
    <t xml:space="preserve">Lucro</t>
  </si>
  <si>
    <t xml:space="preserve">Base de Cálculo dos Tributos  = (total da rem.+total dos benefícios mensais e diários+total de insumos diversos+total do quadro resumo do módulo 4 de encargos sociais e trabalhistas + custos indiretos+Lucro )</t>
  </si>
  <si>
    <t xml:space="preserve">Tributos</t>
  </si>
  <si>
    <t xml:space="preserve">C1.Tributos Federais (especificar)</t>
  </si>
  <si>
    <t xml:space="preserve">a)CONFINS (depende do regime de tributação)</t>
  </si>
  <si>
    <t xml:space="preserve">b)PIS (depende do regime de tributação)</t>
  </si>
  <si>
    <t xml:space="preserve">IRPJ e CSLL (Não incluir esses tributos em face da proibição contida no item 9.1 do Acórdão N° 950/2007-Plenário)</t>
  </si>
  <si>
    <t xml:space="preserve">C2. Tributos Estaduais (especificar)</t>
  </si>
  <si>
    <t xml:space="preserve">C3. Tributos Municipais (especificar)</t>
  </si>
  <si>
    <t xml:space="preserve">a)ISS (Conforme alíquota de cada Município)</t>
  </si>
  <si>
    <t xml:space="preserve">Percentual Total e Valor Total de Tributos</t>
  </si>
  <si>
    <t xml:space="preserve">Cálculo dos Tributos</t>
  </si>
  <si>
    <t xml:space="preserve">=  ( ____Base de Cálculo para os Tributos____) X Alíquota do Tributo</t>
  </si>
  <si>
    <t xml:space="preserve">1 - (Total de Tributos em % dividido por 100)</t>
  </si>
  <si>
    <t xml:space="preserve">Nota(1): custos indiretos, Tributos e Lucro por empregado.</t>
  </si>
  <si>
    <t xml:space="preserve">Nota(2): O valor referente a tributos é obtido aplicando-se o percentual sobre o valor do faturamento.</t>
  </si>
  <si>
    <t xml:space="preserve">ANEXO --- B</t>
  </si>
  <si>
    <t xml:space="preserve">QUADRO-RESUMO DO CUSTO POR EMPREGADO</t>
  </si>
  <si>
    <t xml:space="preserve">Mão-de-Obra Vinculada à execução contratual (Valor por Empregado)</t>
  </si>
  <si>
    <t xml:space="preserve">Módulo 1 - Composição da Remuneração</t>
  </si>
  <si>
    <t xml:space="preserve">Módulo 2 - Benefícios Mensais e Diários</t>
  </si>
  <si>
    <t xml:space="preserve">Módulo 3 - Insumo Diversos (uniformes, materiais, equipamentos e outros)</t>
  </si>
  <si>
    <t xml:space="preserve">Subtotal (A+B+C+D)</t>
  </si>
  <si>
    <t xml:space="preserve">Módulo 5 - Custos Indiretos, Lucro e Tributos</t>
  </si>
  <si>
    <t xml:space="preserve">Valor Total por Posto</t>
  </si>
  <si>
    <t xml:space="preserve">ANEXO --- C</t>
  </si>
  <si>
    <t xml:space="preserve">QUADRO-RESUMO - Valor Mensal dos Serviços</t>
  </si>
  <si>
    <t xml:space="preserve">Tipo de Serviço (A)</t>
  </si>
  <si>
    <t xml:space="preserve">Valor Proposto por posto (B)</t>
  </si>
  <si>
    <t xml:space="preserve">Quantidade de Empregados por Posto(C)</t>
  </si>
  <si>
    <t xml:space="preserve">Valor do Posto de Trabalho (D)</t>
  </si>
  <si>
    <t xml:space="preserve">Quantidade de Postos (E)</t>
  </si>
  <si>
    <t xml:space="preserve">Valor Total do Serviço (F) =(DxE)</t>
  </si>
  <si>
    <t xml:space="preserve">ANEXO --- D</t>
  </si>
  <si>
    <t xml:space="preserve">QUADRO DEMONSTRATIVO - Valor Global da Proposta</t>
  </si>
  <si>
    <t xml:space="preserve">DESCRIÇÃO</t>
  </si>
  <si>
    <t xml:space="preserve">Valor Proposto por Unidade de Medida (Por posto de trabalho)</t>
  </si>
  <si>
    <t xml:space="preserve">Valor mensal do serviço</t>
  </si>
  <si>
    <t xml:space="preserve">Valor Global da proposta (valor mensal do serviço X n° de meses do contrato)</t>
  </si>
  <si>
    <t xml:space="preserve">DADOS 2018</t>
  </si>
  <si>
    <t xml:space="preserve">SALÁRIO BASE</t>
  </si>
  <si>
    <t xml:space="preserve">AUXÍLIO ALIMENTAÇÃO</t>
  </si>
  <si>
    <t xml:space="preserve">AUXÍLIO LANCHE</t>
  </si>
  <si>
    <t xml:space="preserve">PLANO DE BENEFÍCIO</t>
  </si>
  <si>
    <t xml:space="preserve">Uniforme 2018</t>
  </si>
  <si>
    <t xml:space="preserve">Uniforme 2019</t>
  </si>
  <si>
    <t xml:space="preserve">IPCA – Índice Nacional de Preços ao Consumidor – Amplo</t>
  </si>
  <si>
    <t xml:space="preserve">VT</t>
  </si>
  <si>
    <t xml:space="preserve">ALEGRETE</t>
  </si>
  <si>
    <t xml:space="preserve">**</t>
  </si>
  <si>
    <t xml:space="preserve">BAGÉ</t>
  </si>
  <si>
    <t xml:space="preserve">CAÇAPAVA</t>
  </si>
  <si>
    <t xml:space="preserve">*</t>
  </si>
  <si>
    <t xml:space="preserve">DOM PEDRITO</t>
  </si>
  <si>
    <t xml:space="preserve">ITAQUI</t>
  </si>
  <si>
    <t xml:space="preserve">JAGUARÃO</t>
  </si>
  <si>
    <t xml:space="preserve">S. LIVRAMENTO</t>
  </si>
  <si>
    <t xml:space="preserve">S. BORJA</t>
  </si>
  <si>
    <t xml:space="preserve">S. GABRIEL</t>
  </si>
  <si>
    <t xml:space="preserve">URUGUAIANA</t>
  </si>
  <si>
    <t xml:space="preserve">Nilson Thomaz Silva Sanchotene Junior - EPP</t>
  </si>
  <si>
    <t xml:space="preserve">CNPJ: 08.202.514/0001-31</t>
  </si>
  <si>
    <t xml:space="preserve">End.: Bento Gonçalves, 135</t>
  </si>
  <si>
    <t xml:space="preserve">Bairro: Centro - Itaqui - RS - Brasil</t>
  </si>
  <si>
    <t xml:space="preserve">Fone: (55) 3433 7327 - Cel.: (55) 9614-3011</t>
  </si>
  <si>
    <t xml:space="preserve">e-mail: sulport-rs@hotmail.com</t>
  </si>
  <si>
    <t xml:space="preserve">Regime de tributação: Lucro presumido</t>
  </si>
  <si>
    <t xml:space="preserve">Alegrete</t>
  </si>
  <si>
    <t xml:space="preserve">01/01/2015 a 31/12/2015 SEEAC/Sindasseio/RS</t>
  </si>
  <si>
    <t xml:space="preserve">Segunda à Sábado, das 07h às 19h</t>
  </si>
  <si>
    <t xml:space="preserve">Porteiro</t>
  </si>
  <si>
    <t xml:space="preserve">Salário Base (valor para 2 porteiros)</t>
  </si>
  <si>
    <t xml:space="preserve">Adicional de Intervalo Cálculo do Valor =(valor hora + 50% x nº dias x n°porteiros x (15/60min))</t>
  </si>
  <si>
    <t xml:space="preserve">Transporte Cálculo do Valor =((n°porteiros x n° vales dia x valor VT x n° dias) - (SBx6%))</t>
  </si>
  <si>
    <t xml:space="preserve">A1)Valor da passagem do transporte coletivo no município de prestação de serviço Termo de Aud. Cível (Processo n° 002/1.13.0001125-1)</t>
  </si>
  <si>
    <t xml:space="preserve">Auxílio alimentação/lanche Cálculo do Valor = (n° porteiros x n° dias x VA) x (1-0,175)</t>
  </si>
  <si>
    <t xml:space="preserve">Plano de Benefício Familiar (CCT Cláusula 25) Cálculo do Valor = (R$ PBS x nº de porteiros)</t>
  </si>
  <si>
    <t xml:space="preserve">Uniformes       Cálculo do Valor = (valor uniforme x nº de porteiros)</t>
  </si>
  <si>
    <t xml:space="preserve">FAP=0,5</t>
  </si>
  <si>
    <t xml:space="preserve">Aviso-prévio indenizado Cálculo = (rem/12)x(n° dias de indenização/30) x 5%   (utilizado 33 dias)</t>
  </si>
  <si>
    <t xml:space="preserve">-</t>
  </si>
  <si>
    <t xml:space="preserve">a)CONFINS (depende do regime de tributação: utilizada a hipótese de Lucro Presumido)</t>
  </si>
  <si>
    <t xml:space="preserve">b)PIS (depende do regime de tributação: utilizada a hipótese de Lucro Presumido)</t>
  </si>
  <si>
    <t xml:space="preserve">a)ISS (Decreto Municipal n° 044/2011)</t>
  </si>
  <si>
    <t xml:space="preserve">Segunda à sexta-feira, das 07h às 23h, e aos sábados, das 07h às 13h</t>
  </si>
  <si>
    <t xml:space="preserve">Adicional de Intervalo Cálculo do Valor: (valor hora + 50% x nº dias x n°porteiros)</t>
  </si>
  <si>
    <t xml:space="preserve">Adicional Noturno e Hora Noturna Adicional Cálculo do valor: (Adic. Not. (Hora) nº de horas dia x (60/52,5) x nº de dias trabalhados)</t>
  </si>
  <si>
    <t xml:space="preserve">Hora Reduzida Noturna como extra Cálculo do valor: (valor da HE 50% x nº horas extras mensal x (60/52,5-1))</t>
  </si>
  <si>
    <t xml:space="preserve">Transporte Cálculo do Valor =((n°porteiros x n° vales dia x valor VT x n° dias)-(SBx6%))</t>
  </si>
  <si>
    <t xml:space="preserve">Plano de Benefício Familiar(CCT Cláusula 25) Cálculo do Valor = (R$ PBS x nº de porteiros)</t>
  </si>
  <si>
    <t xml:space="preserve">Uniformes   Cálculo do Valor = (valor uniforme x nº de porteiros)</t>
  </si>
  <si>
    <t xml:space="preserve">Segunda a domingo, inclusive feriados, das 07h às 19h</t>
  </si>
  <si>
    <t xml:space="preserve">Salário Base  (valor para 2 porteiros + rendição)</t>
  </si>
  <si>
    <t xml:space="preserve">Rendição Intervalar (para almoço) Cálculo do valor: (salário 1h/dia x 30 dias x 1,2 RSR) + RENDIÇÃO NO FERIADO (salário 1h/dia x (11/12) x 1,2 RSR)</t>
  </si>
  <si>
    <t xml:space="preserve">Transporte Cálculo do Valor = (n°porteiros x n° vales dia x valor VT x n° dias)-(6% x (SB + salário hora x 30  dias))</t>
  </si>
  <si>
    <t xml:space="preserve">A1)Valor da passagem do transporte coletivo no município de prestação de serviço   Termo de Aud. Cível (Processo n° 002/1.13.0001125-1)</t>
  </si>
  <si>
    <t xml:space="preserve">Plano de Benefício Familiar (CCT Cláusula 25) Cálculo do Valor = (R$ PBS x nº de porteiros + rendição)</t>
  </si>
  <si>
    <t xml:space="preserve">Uniformes  Cálculo do Valor = (valor uniforme x (nº de porteiros + rendição))</t>
  </si>
  <si>
    <t xml:space="preserve">2 + 1 folguista</t>
  </si>
  <si>
    <t xml:space="preserve">Segunda à sexta-feira, das 07h às 23h, e aos sábados, das 07h às 19h</t>
  </si>
  <si>
    <t xml:space="preserve">Adicional de Intervalo  Cálculo do Valor: ((valor hora + 50% x nº dias x n°porteiros) + (valor hora + 50% x nº dias x n°porteiros x 15/60min))</t>
  </si>
  <si>
    <t xml:space="preserve">Adicional Noturno e Hora Noturna Adicional Cálculo do valor: (Adic. Not. (Hora) x nº de horas dia x (60/52,5) x nº de dias trabalhados)</t>
  </si>
  <si>
    <t xml:space="preserve">Hora Reduzida Noturna como extra  Cálculo do valor: (valor da HE 50% x nº horas extras mensal x (60/52,5-1))</t>
  </si>
  <si>
    <t xml:space="preserve">Hora Extra (50%) Cálculo do valor: (valor da HE 50% x nº porteiros x nº horas extras mensal)</t>
  </si>
  <si>
    <t xml:space="preserve">Auxílio alimentação/lanche   Cálculo do Valor = (n° porteiros x n° dias x VA)x(1-0,175)</t>
  </si>
  <si>
    <t xml:space="preserve">Bagé</t>
  </si>
  <si>
    <t xml:space="preserve">Segunda à sexta-feira, das 07h às 23h</t>
  </si>
  <si>
    <t xml:space="preserve">Adicional de Intervalo  Cálculo do Valor: (valor hora + 50% x nº dias x n°porteiros)</t>
  </si>
  <si>
    <t xml:space="preserve">Adicional Noturno e Hora Noturna Adicional Cálculo do valor: (Adic. Not. (Hora) x nº de horas dias x (60/52,5) x nº de dias trabalhados)</t>
  </si>
  <si>
    <t xml:space="preserve">A1)Valor da passagem do transporte coletivo no município de prestação de serviço  (Decreto Municipal n° 217/2014)</t>
  </si>
  <si>
    <t xml:space="preserve">Uniformes     Cálculo do Valor = (valor uniforme x nº de porteiros)</t>
  </si>
  <si>
    <t xml:space="preserve">Nota (1): Os percentuais dos encargos previdenciários e FGTS são aqueles estabelecidos pela legislação vigente.</t>
  </si>
  <si>
    <t xml:space="preserve">a)ISS (Decreto Municipal n° 4.068/2003)</t>
  </si>
  <si>
    <t xml:space="preserve">Adicional Noturno e Hora Noturna Adicional Cálculo do valor: (Adic. Not. (Hora) x Nº horas dia x(60/52,5) x nº de dias trabalhados)</t>
  </si>
  <si>
    <t xml:space="preserve">A1)Valor da passagem do transporte coletivo no município de prestação de serviço (Decreto Municipal n° 217/2014)</t>
  </si>
  <si>
    <t xml:space="preserve">Uniformes    Cálculo do Valor = (valor uniforme x nº de porteiros)</t>
  </si>
  <si>
    <t xml:space="preserve">Segunda à sexta-feira, das 07h às 23h, e aos Domingos, das 07h às 19h</t>
  </si>
  <si>
    <t xml:space="preserve">Hora Extra (100%) Cálculo do valor: (valor da HE 50% x nº porteiros x nº horas extras mensal)</t>
  </si>
  <si>
    <t xml:space="preserve">Segunda à quinta-feira, das 09h às 17h, sexta-feira, das 08h às 12h, e aos sábados, das 08h às 16h.</t>
  </si>
  <si>
    <t xml:space="preserve">Salário Base  (valor para 1 porteiro)</t>
  </si>
  <si>
    <t xml:space="preserve">Adicional de Intervalo Cálculo do Valor =(valor hora + 50% x nº dias x n°porteiros)</t>
  </si>
  <si>
    <t xml:space="preserve">Caçapava</t>
  </si>
  <si>
    <t xml:space="preserve">Adicional Noturno e Hora Noturna Adicional Cálculo do valor: (Adic. Not. (Hora)x nº horas dia x (60/52,5) x nº de dias trabalhados)</t>
  </si>
  <si>
    <t xml:space="preserve">a)ISS (Decreto Municipal n° 1.600/2003, artigo 7°)</t>
  </si>
  <si>
    <t xml:space="preserve">Dom Pedrito</t>
  </si>
  <si>
    <t xml:space="preserve">Adicional Noturno e Hora Noturna Adicional Cálculo do valor: (Adic. Not. (Hora) x nº horas dia x (60/52,5) x nº de dias trabalhados)</t>
  </si>
  <si>
    <t xml:space="preserve">A1)Valor da passagem do transporte coletivo no município de prestação de serviço   (Decreto Municipal n° 23/2015)</t>
  </si>
  <si>
    <t xml:space="preserve">a)ISS (Decreto Municipal n° 1.547/2008)</t>
  </si>
  <si>
    <t xml:space="preserve">Segunda à Sexta, das 07h às 19h</t>
  </si>
  <si>
    <t xml:space="preserve">A1)Valor da passagem do transporte coletivo no município de prestação de serviço  (Decreto Municipal n° 23/2015)</t>
  </si>
  <si>
    <t xml:space="preserve">a)ISS  (Decreto Municipal n° 1.547/2008)</t>
  </si>
  <si>
    <t xml:space="preserve">Itaqui</t>
  </si>
  <si>
    <t xml:space="preserve">Segunda a  domingos inclusive feriados, das 07h às 19h</t>
  </si>
  <si>
    <t xml:space="preserve">Salário Base  (valor para 3 porteiros - com rendição)</t>
  </si>
  <si>
    <t xml:space="preserve">Adicional Noturno e Hora Noturna Adicional  Cálculo do valor: (Adic. Not. (Hora) x nº horas dia x (60/52,5) x nº de dias trabalhados)</t>
  </si>
  <si>
    <t xml:space="preserve">Transporte Cálculo do Valor = (n°porteiros x n° vales dia x valor VT x n° dias) - (6% x (SB + salário hora x 30  dias))</t>
  </si>
  <si>
    <t xml:space="preserve">Uniformes   Cálculo do Valor = (valor uniforme x (nº de porteiros + rendição))</t>
  </si>
  <si>
    <t xml:space="preserve">a)ISS (Decreto Municipal n° 2.825/2003)</t>
  </si>
  <si>
    <t xml:space="preserve">3 + rendição</t>
  </si>
  <si>
    <t xml:space="preserve">Segunda a domingo, inclusive feriados,das 19h às 7h</t>
  </si>
  <si>
    <t xml:space="preserve">Plano de Benefício Familiar (CCT Cláusula 25) Cálculo do Valor = (R$PBS x nº de porteiros)</t>
  </si>
  <si>
    <t xml:space="preserve">Jaguarão</t>
  </si>
  <si>
    <t xml:space="preserve">Adicional de Intervalo Cálculo do Valor: ((valor hora + 50% x nº dias x n°porteiros) + (valor hora + 50% x nº dias x n°porteiros x 15/60min))</t>
  </si>
  <si>
    <t xml:space="preserve">A1)Valor da passagem do transporte coletivo no município de prestação de serviço  Decreto Municipal n° 268/2012</t>
  </si>
  <si>
    <t xml:space="preserve">a)ISS  (Decreto Municipal n° 4.195/2003)</t>
  </si>
  <si>
    <t xml:space="preserve">Sant’Ana do Livramento</t>
  </si>
  <si>
    <t xml:space="preserve">Segunda à sexta-feira, das 07h às 23h, e aos sábados, domingos e feriados, das 08h às 20h</t>
  </si>
  <si>
    <t xml:space="preserve">A1)Valor da passagem do transporte coletivo no município de prestação de serviço  Decreto Municipal n° 5.272/2010.</t>
  </si>
  <si>
    <t xml:space="preserve">Plano de Benefício Familiar (CCT Cláusula 25)   Cálculo do Valor = (R$ PBS x (nº de porteiros + rendição)</t>
  </si>
  <si>
    <t xml:space="preserve">Uniformes       Cálculo do Valor = (valor uniforme x (nº de porteiros + rendição))</t>
  </si>
  <si>
    <t xml:space="preserve">a)ISS (Decreto Municipal n° 4.750/2003)</t>
  </si>
  <si>
    <t xml:space="preserve">Sant'Ana do Livramento</t>
  </si>
  <si>
    <t xml:space="preserve">A1)Valor da passagem do transporte coletivo no município de prestação de serviço Decreto Municipal n° 5.272/2010.</t>
  </si>
  <si>
    <t xml:space="preserve">Segunda a domingo, inclusive feriados,das 07h às 19h</t>
  </si>
  <si>
    <t xml:space="preserve">Uniformes     Cálculo do Valor = (valor uniforme x (nº de porteiros + rendição))</t>
  </si>
  <si>
    <t xml:space="preserve">Segunda a domingo, inclusive feriados, das 19h às 07h</t>
  </si>
  <si>
    <t xml:space="preserve">Hora Reduzida Noturna como extra  Cálculo do valor: (valor da HE 50% x nº horas extras mensal (*13,29h) x 2 porteiros)… *13,29h = [3+(9*1,1428571)] x nº dias trabalhados - 186h (limite horas mensal, conforme cláusula 42ª da CCT)</t>
  </si>
  <si>
    <t xml:space="preserve">Transporte  Cálculo do Valor = [(n°porteiros x n° vales dia x valor VT x n° dias)-(6% x SB)]</t>
  </si>
  <si>
    <t xml:space="preserve">Auxílio alimentação/lanche  Cálculo do Valor = (n° porteiros x n° dias x VA)x(1-0,175)</t>
  </si>
  <si>
    <t xml:space="preserve">São Borja</t>
  </si>
  <si>
    <t xml:space="preserve">Segunda à sexta-feira, das 07h às 23h, e aos sábados, das 08h às 12h</t>
  </si>
  <si>
    <t xml:space="preserve">A1)Valor da passagem do transporte coletivo no município de prestação de serviço  Decreto Municipal n° 14.770/2013.</t>
  </si>
  <si>
    <t xml:space="preserve">a)ISS (Decreto Municipal n° 3.269/2003)</t>
  </si>
  <si>
    <t xml:space="preserve">São Gabriel</t>
  </si>
  <si>
    <t xml:space="preserve">Adicional de Intervalo  Cálculo do Valor: (valor hora + 50% x nº dias x n°porteiros x (15/60min))</t>
  </si>
  <si>
    <t xml:space="preserve">A1)Valor da passagem do transporte coletivo no município de prestação de serviço  Decreto Municipal n° 189/2014</t>
  </si>
  <si>
    <t xml:space="preserve">Plano de Benefício Familiar (CCT Cláusula 25)  Cálculo do Valor = (R$ PBS x nº de porteiros)</t>
  </si>
  <si>
    <t xml:space="preserve">a)ISS   (Decreto Municipal n° 2.895/2005)</t>
  </si>
  <si>
    <t xml:space="preserve">Plano de Benefício Familiar (CCT Cláusula 25) Cálculo do Valor = (R$ PBS x nº de porteiros+rendição)</t>
  </si>
  <si>
    <t xml:space="preserve">Uniformes    Cálculo do Valor = (valor uniforme x (nº de porteiros + rendição))</t>
  </si>
  <si>
    <t xml:space="preserve">Multa sobre o FGTS  e contribuições sociais sobre o aviso prévio-trabalhado - Obrigatória a cotação de 4,76% sobre o valor do Módulo 1 - Composição da Remuneração, conforme art. 19-A e Anexo VII da IN 02/08 (0,24% + 4,76% = 5%.</t>
  </si>
  <si>
    <t xml:space="preserve">a)ISS (Decreto Municipal n° 2.895/2005)</t>
  </si>
  <si>
    <t xml:space="preserve">Uruguaiana</t>
  </si>
  <si>
    <t xml:space="preserve">A1)Valor da passagem do transporte coletivo no município de prestação de serviço  Decreto Municipal n° 282/2014.</t>
  </si>
  <si>
    <t xml:space="preserve">a)ISS (Decreto Municipal n° 3.425/2004)</t>
  </si>
  <si>
    <t xml:space="preserve">Adicional de Intervalo Cálculo do Valor: (valor hora + 50% x nº dias x n°porteiros x (15/60min))</t>
  </si>
  <si>
    <t xml:space="preserve">A1)Valor da passagem do transporte coletivo no município de prestação de serviço  Decreto Municipal n° 282/2014</t>
  </si>
  <si>
    <t xml:space="preserve">a)ISS   (Decreto Municipal n° 3.425/2004)</t>
  </si>
  <si>
    <t xml:space="preserve">A1)Valor da passagem do transporte coletivo no município de prestação de serviço  Decreto Municipal n°n° 282/2014</t>
  </si>
  <si>
    <t xml:space="preserve">Reitoria - Bagé</t>
  </si>
  <si>
    <t xml:space="preserve">A1)Valor da passagem do transporte coletivo no município de prestação de serviço  Decreto Municipal n° 217/2014</t>
  </si>
  <si>
    <t xml:space="preserve">B1)Valor do auxílio alimentação/lanche (CCT Cláusula 22)</t>
  </si>
  <si>
    <t xml:space="preserve">a)ISS  (Decreto Municipal n° 4.068/2003)</t>
  </si>
  <si>
    <t xml:space="preserve">FUNDAÇÃO UNIVERSIDADE FEDERAL DO PAMPA - UNIPAMPA</t>
  </si>
  <si>
    <t xml:space="preserve">PROPOSTA COMERCIAL</t>
  </si>
  <si>
    <t xml:space="preserve">VALOR MENSAL / GLOBAL DOS SERVIÇOS</t>
  </si>
  <si>
    <t xml:space="preserve">Quadro Resumo - Serviços de Portaria</t>
  </si>
  <si>
    <t xml:space="preserve">Nº de Postos</t>
  </si>
  <si>
    <t xml:space="preserve">Implantação</t>
  </si>
  <si>
    <t xml:space="preserve">Valor (R$) do Posto</t>
  </si>
  <si>
    <t xml:space="preserve">Valor (R$) (mensal) implantação imediata</t>
  </si>
  <si>
    <t xml:space="preserve">Valor (R$) (mensal) aguarda definição</t>
  </si>
  <si>
    <t xml:space="preserve">Valor (R$) Total mensal</t>
  </si>
  <si>
    <t xml:space="preserve">Valor (R$) Total Anual</t>
  </si>
  <si>
    <t xml:space="preserve">Item</t>
  </si>
  <si>
    <t xml:space="preserve">Unidade</t>
  </si>
  <si>
    <t xml:space="preserve">Descrição</t>
  </si>
  <si>
    <t xml:space="preserve">Imediata</t>
  </si>
  <si>
    <t xml:space="preserve">Aguarda Autorização</t>
  </si>
  <si>
    <t xml:space="preserve">1.1</t>
  </si>
  <si>
    <t xml:space="preserve">Segunda a sábado, das 07h às 19h</t>
  </si>
  <si>
    <t xml:space="preserve">1.2</t>
  </si>
  <si>
    <t xml:space="preserve">1.3</t>
  </si>
  <si>
    <t xml:space="preserve">1.4</t>
  </si>
  <si>
    <t xml:space="preserve">Subtotal - Alegrete</t>
  </si>
  <si>
    <t xml:space="preserve">2.1</t>
  </si>
  <si>
    <t xml:space="preserve">2.2</t>
  </si>
  <si>
    <t xml:space="preserve">2.2 (a)</t>
  </si>
  <si>
    <t xml:space="preserve">2.3</t>
  </si>
  <si>
    <t xml:space="preserve">Subtotal - Bagé</t>
  </si>
  <si>
    <t xml:space="preserve">3.1</t>
  </si>
  <si>
    <t xml:space="preserve">Subtotal - Caçapava</t>
  </si>
  <si>
    <t xml:space="preserve">Segunda à sexta-feira, das 07h às 19h</t>
  </si>
  <si>
    <t xml:space="preserve">Subtotal - Dom Pedrito</t>
  </si>
  <si>
    <t xml:space="preserve">5.1</t>
  </si>
  <si>
    <t xml:space="preserve">Segunda a  domingo inclusive feriados, das 07h às 19h</t>
  </si>
  <si>
    <t xml:space="preserve">5.2</t>
  </si>
  <si>
    <t xml:space="preserve">Subtotal - Itaqui</t>
  </si>
  <si>
    <t xml:space="preserve">6.1</t>
  </si>
  <si>
    <t xml:space="preserve">Subtotal- Jaguarão</t>
  </si>
  <si>
    <t xml:space="preserve">7.1</t>
  </si>
  <si>
    <t xml:space="preserve"> </t>
  </si>
  <si>
    <t xml:space="preserve">7.2</t>
  </si>
  <si>
    <t xml:space="preserve">7.3</t>
  </si>
  <si>
    <t xml:space="preserve">7.4</t>
  </si>
  <si>
    <t xml:space="preserve">Subtotal - Livramento</t>
  </si>
  <si>
    <t xml:space="preserve">8.1</t>
  </si>
  <si>
    <t xml:space="preserve">Segunda à sexta-feira, das 07h às 23h, e aos sábados, das 08h às 12h.</t>
  </si>
  <si>
    <t xml:space="preserve">Subtotal - São Borja</t>
  </si>
  <si>
    <t xml:space="preserve">9.1</t>
  </si>
  <si>
    <t xml:space="preserve">9.2</t>
  </si>
  <si>
    <t xml:space="preserve">Subtotal - São Gabriel</t>
  </si>
  <si>
    <t xml:space="preserve">10.1</t>
  </si>
  <si>
    <t xml:space="preserve">Segunda à sexta-feira, das 07h às 23h, e aos sábados, das 07h às 19h.</t>
  </si>
  <si>
    <t xml:space="preserve">10.2</t>
  </si>
  <si>
    <t xml:space="preserve">10.3</t>
  </si>
  <si>
    <t xml:space="preserve">10.4</t>
  </si>
  <si>
    <t xml:space="preserve">Subtotal - Uruguaiana</t>
  </si>
  <si>
    <t xml:space="preserve">11.1</t>
  </si>
  <si>
    <t xml:space="preserve">Reitoria</t>
  </si>
  <si>
    <t xml:space="preserve">11.2</t>
  </si>
  <si>
    <t xml:space="preserve">Segunda a domingo, inclusive feriados, das 7h às 19h</t>
  </si>
  <si>
    <t xml:space="preserve">Subtotal - Reitoria</t>
  </si>
  <si>
    <t xml:space="preserve">TOTAL  GLOBAL</t>
  </si>
  <si>
    <t xml:space="preserve">1. No preço estão contidos todos os custos e despesas diretas e indiretas, tributos incidentes, encargos sociais, previdenciários, trabalhistas e comerciais, taxa de administração e lucro, materiais e mão-de-obra a serem empregados, seguros, fretes, rotulagem, embalagens, e quaisquer outros necessários ao fiel e integral cumprimento do objeto do Edital e seus Anexos.</t>
  </si>
  <si>
    <t xml:space="preserve">2. Declaramos que tomamos conhecimento de todas as informações e condições para o cumprimento das obrigações objeto desta licitação e que atendemos todas as exigencias necessárias.</t>
  </si>
  <si>
    <t xml:space="preserve">3. CCT 2015</t>
  </si>
  <si>
    <t xml:space="preserve">RAZÃO SOCIAL DA EMPRESA:</t>
  </si>
  <si>
    <t xml:space="preserve">CNPJ N.º:</t>
  </si>
  <si>
    <t xml:space="preserve">08.202.514/0001-31</t>
  </si>
  <si>
    <t xml:space="preserve">ENDEREÇO:</t>
  </si>
  <si>
    <t xml:space="preserve">Rua Bento Gonçalves, 135 - Centro - CEP: 97.650-000 - Itaqui - RS</t>
  </si>
  <si>
    <t xml:space="preserve">TELEFONE/FAX:</t>
  </si>
  <si>
    <t xml:space="preserve">(55)3433-7327 - (55)9614-3011</t>
  </si>
  <si>
    <t xml:space="preserve">E-MAIL</t>
  </si>
  <si>
    <t xml:space="preserve">sulport-rs@hotmail.com</t>
  </si>
  <si>
    <t xml:space="preserve">VALIDADE DA PROPOSTA :</t>
  </si>
  <si>
    <t xml:space="preserve">60 (SESSENTA DIAS)</t>
  </si>
  <si>
    <t xml:space="preserve">PRAZO DE PAGAMENTO: Contra Apresentação</t>
  </si>
  <si>
    <t xml:space="preserve">BANCO do BRASIL - AGENCIA: 271-2     CONTA CORRENTE: 20.703-9</t>
  </si>
  <si>
    <t xml:space="preserve">REPRESENTANTE DA EMPRESA:</t>
  </si>
  <si>
    <t xml:space="preserve">Nilson Thomaz Silva Sanchotene Junior</t>
  </si>
  <si>
    <t xml:space="preserve">CARGO: SOCIO DIRETOR   RG: 1054630106  CPF: 737.913.930-49</t>
  </si>
  <si>
    <t xml:space="preserve">Itaqui - RS, 05 de outubro de 2016</t>
  </si>
  <si>
    <t xml:space="preserve">OBS: POSTOS AGUARDANDO AUTORIZAÇÃO</t>
  </si>
  <si>
    <t xml:space="preserve">Sempre que implantar um posto de trabalho que esta aguardando autorização, tem que voltar a formula do Submodulo 4.4 – D nas planilhas citadas a baixo:</t>
  </si>
  <si>
    <t xml:space="preserve">Caçapava – 3.1</t>
  </si>
  <si>
    <t xml:space="preserve">Itaqui – 5.2</t>
  </si>
  <si>
    <t xml:space="preserve">Jaguarão – 6.1</t>
  </si>
  <si>
    <t xml:space="preserve">São Borja – 8.1</t>
  </si>
  <si>
    <t xml:space="preserve">São Gabriel – 9.2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</si>
</sst>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D/M/YYYY"/>
    <numFmt numFmtId="166" formatCode="0.00"/>
    <numFmt numFmtId="167" formatCode="&quot;R$ &quot;#,##0.00;[RED]&quot;-R$ &quot;#,##0.00"/>
    <numFmt numFmtId="168" formatCode="&quot; R$ &quot;* #,##0.00,;&quot;-R$ &quot;* #,##0.00,;&quot; R$ &quot;* \-#\,;@\ "/>
    <numFmt numFmtId="169" formatCode="* #,##0.00,;\-* #,##0.00,;* \-#\,;@\ "/>
    <numFmt numFmtId="170" formatCode="&quot; R$ &quot;* #,##0.00,;&quot; R$ &quot;* \(#,##0.00\);&quot; R$ &quot;* \-#\,;@\ "/>
    <numFmt numFmtId="171" formatCode="0%"/>
    <numFmt numFmtId="172" formatCode="0.0%"/>
    <numFmt numFmtId="173" formatCode="0.00%"/>
    <numFmt numFmtId="174" formatCode="@"/>
    <numFmt numFmtId="175" formatCode="[$R$-416]\ #,##0.00;[RED]\-[$R$-416]\ #,##0.00"/>
    <numFmt numFmtId="176" formatCode="#,##0.00"/>
    <numFmt numFmtId="177" formatCode="#,##0.000"/>
  </numFmts>
  <fonts count="38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0"/>
      <charset val="1"/>
    </font>
    <font>
      <sz val="18"/>
      <color rgb="FF000000"/>
      <name val="Calibri"/>
      <family val="0"/>
      <charset val="1"/>
    </font>
    <font>
      <sz val="12"/>
      <color rgb="FF000000"/>
      <name val="Calibri"/>
      <family val="0"/>
      <charset val="1"/>
    </font>
    <font>
      <sz val="10"/>
      <color rgb="FF333333"/>
      <name val="Calibri"/>
      <family val="0"/>
      <charset val="1"/>
    </font>
    <font>
      <i val="true"/>
      <sz val="10"/>
      <color rgb="FF808080"/>
      <name val="Calibri"/>
      <family val="0"/>
      <charset val="1"/>
    </font>
    <font>
      <sz val="10"/>
      <color rgb="FF006600"/>
      <name val="Calibri"/>
      <family val="0"/>
      <charset val="1"/>
    </font>
    <font>
      <sz val="10"/>
      <color rgb="FF996600"/>
      <name val="Calibri"/>
      <family val="0"/>
      <charset val="1"/>
    </font>
    <font>
      <sz val="10"/>
      <color rgb="FFCC0000"/>
      <name val="Calibri"/>
      <family val="0"/>
      <charset val="1"/>
    </font>
    <font>
      <b val="true"/>
      <sz val="10"/>
      <color rgb="FFFFFFFF"/>
      <name val="Calibri"/>
      <family val="0"/>
      <charset val="1"/>
    </font>
    <font>
      <b val="true"/>
      <sz val="10"/>
      <color rgb="FF000000"/>
      <name val="Calibri"/>
      <family val="0"/>
      <charset val="1"/>
    </font>
    <font>
      <sz val="10"/>
      <color rgb="FFFFFFFF"/>
      <name val="Calibri"/>
      <family val="0"/>
      <charset val="1"/>
    </font>
    <font>
      <sz val="12"/>
      <color rgb="FF000000"/>
      <name val="Times New Roman"/>
      <family val="0"/>
      <charset val="1"/>
    </font>
    <font>
      <b val="true"/>
      <sz val="12"/>
      <color rgb="FF000000"/>
      <name val="Calibri"/>
      <family val="0"/>
      <charset val="1"/>
    </font>
    <font>
      <sz val="12"/>
      <color rgb="FFFF0000"/>
      <name val="Calibri"/>
      <family val="0"/>
      <charset val="1"/>
    </font>
    <font>
      <sz val="12"/>
      <color rgb="FF0000FF"/>
      <name val="Calibri"/>
      <family val="0"/>
      <charset val="1"/>
    </font>
    <font>
      <b val="true"/>
      <sz val="12"/>
      <name val="Calibri"/>
      <family val="0"/>
      <charset val="1"/>
    </font>
    <font>
      <sz val="12"/>
      <name val="Calibri"/>
      <family val="0"/>
      <charset val="1"/>
    </font>
    <font>
      <i val="true"/>
      <sz val="12"/>
      <color rgb="FF000000"/>
      <name val="Calibri"/>
      <family val="0"/>
      <charset val="1"/>
    </font>
    <font>
      <i val="true"/>
      <sz val="12"/>
      <color rgb="FF0000FF"/>
      <name val="Calibri"/>
      <family val="0"/>
      <charset val="1"/>
    </font>
    <font>
      <b val="true"/>
      <sz val="12"/>
      <color rgb="FFFF0000"/>
      <name val="Calibri"/>
      <family val="0"/>
      <charset val="1"/>
    </font>
    <font>
      <sz val="12"/>
      <name val="Arial"/>
      <family val="0"/>
      <charset val="1"/>
    </font>
    <font>
      <b val="true"/>
      <sz val="12"/>
      <color rgb="FF000000"/>
      <name val="Times New Roman"/>
      <family val="0"/>
      <charset val="1"/>
    </font>
    <font>
      <b val="true"/>
      <sz val="11"/>
      <color rgb="FF000000"/>
      <name val="Calibri"/>
      <family val="0"/>
      <charset val="1"/>
    </font>
    <font>
      <b val="true"/>
      <sz val="12"/>
      <name val="Arial"/>
      <family val="0"/>
      <charset val="1"/>
    </font>
    <font>
      <sz val="12"/>
      <color rgb="FF000000"/>
      <name val="Calibri"/>
      <family val="2"/>
      <charset val="1"/>
    </font>
    <font>
      <sz val="10"/>
      <name val="Calibri"/>
      <family val="0"/>
      <charset val="1"/>
    </font>
    <font>
      <b val="true"/>
      <sz val="11"/>
      <name val="Calibri"/>
      <family val="0"/>
      <charset val="1"/>
    </font>
    <font>
      <b val="true"/>
      <sz val="10"/>
      <name val="Calibri"/>
      <family val="0"/>
      <charset val="1"/>
    </font>
    <font>
      <b val="true"/>
      <sz val="9"/>
      <color rgb="FF000000"/>
      <name val="Segoe UI"/>
      <family val="0"/>
      <charset val="1"/>
    </font>
    <font>
      <b val="true"/>
      <i val="true"/>
      <sz val="9"/>
      <color rgb="FF000000"/>
      <name val="Segoe UI"/>
      <family val="0"/>
      <charset val="1"/>
    </font>
    <font>
      <sz val="9"/>
      <color rgb="FF000000"/>
      <name val="Segoe UI"/>
      <family val="0"/>
      <charset val="1"/>
    </font>
    <font>
      <b val="true"/>
      <sz val="9"/>
      <name val="Segoe UI"/>
      <family val="0"/>
      <charset val="1"/>
    </font>
    <font>
      <u val="single"/>
      <sz val="10"/>
      <color rgb="FF0000FF"/>
      <name val="Arial"/>
      <family val="0"/>
      <charset val="1"/>
    </font>
    <font>
      <sz val="9"/>
      <color rgb="FF000000"/>
      <name val="SimSun"/>
      <family val="0"/>
      <charset val="1"/>
    </font>
  </fonts>
  <fills count="19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EBF1DE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C3D69B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D7E4BD"/>
        <bgColor rgb="FFDDDDDD"/>
      </patternFill>
    </fill>
    <fill>
      <patternFill patternType="solid">
        <fgColor rgb="FFEBF1DE"/>
        <bgColor rgb="FFEEECE1"/>
      </patternFill>
    </fill>
    <fill>
      <patternFill patternType="solid">
        <fgColor rgb="FFFFFF66"/>
        <bgColor rgb="FFFFFF00"/>
      </patternFill>
    </fill>
    <fill>
      <patternFill patternType="solid">
        <fgColor rgb="FFEEECE1"/>
        <bgColor rgb="FFEBF1DE"/>
      </patternFill>
    </fill>
    <fill>
      <patternFill patternType="solid">
        <fgColor rgb="FFFFFF00"/>
        <bgColor rgb="FFFFFF66"/>
      </patternFill>
    </fill>
    <fill>
      <patternFill patternType="solid">
        <fgColor rgb="FFFDEADA"/>
        <bgColor rgb="FFEEECE1"/>
      </patternFill>
    </fill>
    <fill>
      <patternFill patternType="solid">
        <fgColor rgb="FFF2DCDB"/>
        <bgColor rgb="FFDDDDDD"/>
      </patternFill>
    </fill>
    <fill>
      <patternFill patternType="solid">
        <fgColor rgb="FFD9D9D9"/>
        <bgColor rgb="FFDDDDDD"/>
      </patternFill>
    </fill>
  </fills>
  <borders count="4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6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5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9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10" borderId="12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10" borderId="1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10" borderId="2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11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11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6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1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6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6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6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11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6" fillId="0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1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9" fillId="2" borderId="17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1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1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10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0" fontId="6" fillId="10" borderId="1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1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1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10" borderId="13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0" fillId="10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1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1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6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6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6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16" fillId="2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9" fillId="2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13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8" fillId="0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9" fillId="2" borderId="17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1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26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11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16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11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14" borderId="1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9" fontId="16" fillId="10" borderId="3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6" fillId="0" borderId="14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6" fillId="1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0" borderId="1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6" fillId="0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6" fillId="10" borderId="1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6" fillId="10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4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14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3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6" fillId="1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6" fillId="2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16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1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4" fillId="10" borderId="2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11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5" fillId="0" borderId="1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2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25" fillId="2" borderId="17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11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1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3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6" fillId="0" borderId="14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6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1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17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top" textRotation="0" wrapText="false" indent="1" shrinkToFit="false"/>
      <protection locked="true" hidden="false"/>
    </xf>
    <xf numFmtId="164" fontId="16" fillId="0" borderId="0" xfId="0" applyFont="true" applyBorder="false" applyAlignment="true" applyProtection="true">
      <alignment horizontal="left" vertical="top" textRotation="0" wrapText="false" indent="1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9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10" borderId="1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6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1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1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1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15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6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9" fillId="2" borderId="17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8" fillId="0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5" fontId="6" fillId="0" borderId="1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5" fontId="6" fillId="15" borderId="13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0" fillId="0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6" fillId="15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1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1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9" fillId="2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8" fillId="0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1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20" fillId="10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6" fillId="0" borderId="26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16" fillId="1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6" fillId="0" borderId="14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0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6" fillId="10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6" fillId="0" borderId="14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6" fillId="2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10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10" borderId="2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1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6" fillId="2" borderId="17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11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1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1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3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6" fillId="0" borderId="14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6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6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6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6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6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6" fontId="6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10" borderId="3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6" fontId="6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16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6" fillId="0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6" fontId="19" fillId="2" borderId="17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28" fillId="10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10" borderId="1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5" fontId="6" fillId="10" borderId="1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6" fontId="6" fillId="10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5" fontId="6" fillId="10" borderId="13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20" fillId="10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6" fontId="6" fillId="2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6" fontId="19" fillId="2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18" fillId="0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6" fillId="0" borderId="26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16" fillId="0" borderId="14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6" fontId="16" fillId="0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16" fillId="10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6" fillId="0" borderId="14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6" fontId="16" fillId="2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16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1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4" fillId="10" borderId="2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16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6" fillId="0" borderId="1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6" fontId="15" fillId="0" borderId="1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6" fontId="25" fillId="2" borderId="17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6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6" fillId="0" borderId="3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6" fontId="1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16" fillId="0" borderId="14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6" fontId="16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16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10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5" fillId="0" borderId="1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5" fillId="2" borderId="17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14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6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10" borderId="2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2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6" fontId="16" fillId="2" borderId="17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15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28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8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15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10" borderId="1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6" fillId="0" borderId="1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6" fontId="28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28" fillId="0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6" fillId="15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17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3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2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6" fontId="6" fillId="15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28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9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9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6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0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1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11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11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0" borderId="2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3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14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15" borderId="14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28" fillId="0" borderId="14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2" borderId="1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9" fillId="2" borderId="17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1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1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10" borderId="14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5" fontId="6" fillId="10" borderId="1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1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5" fontId="6" fillId="10" borderId="13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20" fillId="10" borderId="14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1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1" fillId="1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6" fillId="2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1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" fillId="0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2" fontId="6" fillId="0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3" fontId="6" fillId="0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2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3" fontId="16" fillId="2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2" borderId="14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8" fillId="0" borderId="14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0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26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11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6" fillId="1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1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10" borderId="3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6" fillId="0" borderId="14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6" fillId="1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0" xfId="1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6" fillId="0" borderId="1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6" fillId="0" borderId="14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0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6" fillId="10" borderId="1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6" fillId="10" borderId="14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4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4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6" fillId="1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6" fillId="2" borderId="14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16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10" borderId="2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4" fillId="10" borderId="2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3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11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6" fillId="0" borderId="2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14" xfId="1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5" fillId="0" borderId="1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5" fillId="0" borderId="14" xfId="1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5" fillId="2" borderId="1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5" fillId="2" borderId="17" xfId="1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5" fillId="0" borderId="3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11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6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6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6" fillId="0" borderId="14" xfId="17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6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6" fillId="0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10" borderId="1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7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7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7" fontId="6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7" fontId="6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7" fontId="6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1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7" fontId="6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7" fontId="16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6" fillId="0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7" fontId="19" fillId="2" borderId="17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7" fontId="6" fillId="10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7" fontId="20" fillId="10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7" fontId="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7" fontId="6" fillId="2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7" fontId="19" fillId="2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7" fontId="18" fillId="0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7" fontId="6" fillId="0" borderId="26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7" fontId="16" fillId="0" borderId="14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7" fontId="16" fillId="0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7" fontId="16" fillId="10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7" fontId="6" fillId="0" borderId="14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7" fontId="16" fillId="2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7" fontId="16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7" fontId="16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7" fontId="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6" fillId="0" borderId="1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15" fillId="0" borderId="1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25" fillId="2" borderId="17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6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6" fillId="0" borderId="3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7" fontId="1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16" fillId="0" borderId="14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7" fontId="16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6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11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1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12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33" fillId="1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32" fillId="1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32" fillId="12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12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1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12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12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4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4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3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34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34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4" fillId="15" borderId="4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2" fillId="12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2" fillId="12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12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34" fillId="1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32" fillId="12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32" fillId="12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2" fillId="2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10" borderId="4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5" fillId="18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5" fillId="18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35" fillId="18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35" fillId="18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35" fillId="18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9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0" fillId="0" borderId="0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9" fillId="0" borderId="1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9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2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13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0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7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8" xfId="0" applyFont="fals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1" builtinId="53" customBuiltin="true"/>
    <cellStyle name="Heading 1" xfId="22" builtinId="53" customBuiltin="true"/>
    <cellStyle name="Heading 2" xfId="23" builtinId="53" customBuiltin="true"/>
    <cellStyle name="Text" xfId="24" builtinId="53" customBuiltin="true"/>
    <cellStyle name="Note" xfId="25" builtinId="53" customBuiltin="true"/>
    <cellStyle name="Footnote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3D69B"/>
      <rgbColor rgb="FF808080"/>
      <rgbColor rgb="FFF2DCDB"/>
      <rgbColor rgb="FF993366"/>
      <rgbColor rgb="FFFFFFCC"/>
      <rgbColor rgb="FFEBF1DE"/>
      <rgbColor rgb="FF660066"/>
      <rgbColor rgb="FFFF8080"/>
      <rgbColor rgb="FF0066CC"/>
      <rgbColor rgb="FFD9D9D9"/>
      <rgbColor rgb="FF000080"/>
      <rgbColor rgb="FFFF00FF"/>
      <rgbColor rgb="FFFDEADA"/>
      <rgbColor rgb="FF00FFFF"/>
      <rgbColor rgb="FF800080"/>
      <rgbColor rgb="FF800000"/>
      <rgbColor rgb="FF008080"/>
      <rgbColor rgb="FF0000FF"/>
      <rgbColor rgb="FF00CCFF"/>
      <rgbColor rgb="FFEEECE1"/>
      <rgbColor rgb="FFCCFFCC"/>
      <rgbColor rgb="FFFFFF66"/>
      <rgbColor rgb="FFDDDDDD"/>
      <rgbColor rgb="FFE6B9B8"/>
      <rgbColor rgb="FFFFCCCC"/>
      <rgbColor rgb="FFFCD5B5"/>
      <rgbColor rgb="FF3366FF"/>
      <rgbColor rgb="FF33CCCC"/>
      <rgbColor rgb="FF92D050"/>
      <rgbColor rgb="FFD7E4BD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86.png"/>
</Relationships>
</file>

<file path=xl/drawings/_rels/drawing10.xml.rels><?xml version="1.0" encoding="UTF-8"?>
<Relationships xmlns="http://schemas.openxmlformats.org/package/2006/relationships"><Relationship Id="rId1" Type="http://schemas.openxmlformats.org/officeDocument/2006/relationships/image" Target="../media/image95.png"/>
</Relationships>
</file>

<file path=xl/drawings/_rels/drawing11.xml.rels><?xml version="1.0" encoding="UTF-8"?>
<Relationships xmlns="http://schemas.openxmlformats.org/package/2006/relationships"><Relationship Id="rId1" Type="http://schemas.openxmlformats.org/officeDocument/2006/relationships/image" Target="../media/image96.png"/>
</Relationships>
</file>

<file path=xl/drawings/_rels/drawing12.xml.rels><?xml version="1.0" encoding="UTF-8"?>
<Relationships xmlns="http://schemas.openxmlformats.org/package/2006/relationships"><Relationship Id="rId1" Type="http://schemas.openxmlformats.org/officeDocument/2006/relationships/image" Target="../media/image97.png"/>
</Relationships>
</file>

<file path=xl/drawings/_rels/drawing13.xml.rels><?xml version="1.0" encoding="UTF-8"?>
<Relationships xmlns="http://schemas.openxmlformats.org/package/2006/relationships"><Relationship Id="rId1" Type="http://schemas.openxmlformats.org/officeDocument/2006/relationships/image" Target="../media/image98.png"/>
</Relationships>
</file>

<file path=xl/drawings/_rels/drawing14.xml.rels><?xml version="1.0" encoding="UTF-8"?>
<Relationships xmlns="http://schemas.openxmlformats.org/package/2006/relationships"><Relationship Id="rId1" Type="http://schemas.openxmlformats.org/officeDocument/2006/relationships/image" Target="../media/image99.png"/>
</Relationships>
</file>

<file path=xl/drawings/_rels/drawing15.xml.rels><?xml version="1.0" encoding="UTF-8"?>
<Relationships xmlns="http://schemas.openxmlformats.org/package/2006/relationships"><Relationship Id="rId1" Type="http://schemas.openxmlformats.org/officeDocument/2006/relationships/image" Target="../media/image100.png"/>
</Relationships>
</file>

<file path=xl/drawings/_rels/drawing16.xml.rels><?xml version="1.0" encoding="UTF-8"?>
<Relationships xmlns="http://schemas.openxmlformats.org/package/2006/relationships"><Relationship Id="rId1" Type="http://schemas.openxmlformats.org/officeDocument/2006/relationships/image" Target="../media/image101.png"/>
</Relationships>
</file>

<file path=xl/drawings/_rels/drawing17.xml.rels><?xml version="1.0" encoding="UTF-8"?>
<Relationships xmlns="http://schemas.openxmlformats.org/package/2006/relationships"><Relationship Id="rId1" Type="http://schemas.openxmlformats.org/officeDocument/2006/relationships/image" Target="../media/image102.png"/>
</Relationships>
</file>

<file path=xl/drawings/_rels/drawing18.xml.rels><?xml version="1.0" encoding="UTF-8"?>
<Relationships xmlns="http://schemas.openxmlformats.org/package/2006/relationships"><Relationship Id="rId1" Type="http://schemas.openxmlformats.org/officeDocument/2006/relationships/image" Target="../media/image103.png"/>
</Relationships>
</file>

<file path=xl/drawings/_rels/drawing19.xml.rels><?xml version="1.0" encoding="UTF-8"?>
<Relationships xmlns="http://schemas.openxmlformats.org/package/2006/relationships"><Relationship Id="rId1" Type="http://schemas.openxmlformats.org/officeDocument/2006/relationships/image" Target="../media/image104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87.png"/>
</Relationships>
</file>

<file path=xl/drawings/_rels/drawing20.xml.rels><?xml version="1.0" encoding="UTF-8"?>
<Relationships xmlns="http://schemas.openxmlformats.org/package/2006/relationships"><Relationship Id="rId1" Type="http://schemas.openxmlformats.org/officeDocument/2006/relationships/image" Target="../media/image105.png"/>
</Relationships>
</file>

<file path=xl/drawings/_rels/drawing21.xml.rels><?xml version="1.0" encoding="UTF-8"?>
<Relationships xmlns="http://schemas.openxmlformats.org/package/2006/relationships"><Relationship Id="rId1" Type="http://schemas.openxmlformats.org/officeDocument/2006/relationships/image" Target="../media/image106.png"/>
</Relationships>
</file>

<file path=xl/drawings/_rels/drawing22.xml.rels><?xml version="1.0" encoding="UTF-8"?>
<Relationships xmlns="http://schemas.openxmlformats.org/package/2006/relationships"><Relationship Id="rId1" Type="http://schemas.openxmlformats.org/officeDocument/2006/relationships/image" Target="../media/image107.png"/>
</Relationships>
</file>

<file path=xl/drawings/_rels/drawing23.xml.rels><?xml version="1.0" encoding="UTF-8"?>
<Relationships xmlns="http://schemas.openxmlformats.org/package/2006/relationships"><Relationship Id="rId1" Type="http://schemas.openxmlformats.org/officeDocument/2006/relationships/image" Target="../media/image108.png"/>
</Relationships>
</file>

<file path=xl/drawings/_rels/drawing24.xml.rels><?xml version="1.0" encoding="UTF-8"?>
<Relationships xmlns="http://schemas.openxmlformats.org/package/2006/relationships"><Relationship Id="rId1" Type="http://schemas.openxmlformats.org/officeDocument/2006/relationships/image" Target="../media/image109.png"/>
</Relationships>
</file>

<file path=xl/drawings/_rels/drawing25.xml.rels><?xml version="1.0" encoding="UTF-8"?>
<Relationships xmlns="http://schemas.openxmlformats.org/package/2006/relationships"><Relationship Id="rId1" Type="http://schemas.openxmlformats.org/officeDocument/2006/relationships/image" Target="../media/image110.png"/>
</Relationships>
</file>

<file path=xl/drawings/_rels/drawing26.xml.rels><?xml version="1.0" encoding="UTF-8"?>
<Relationships xmlns="http://schemas.openxmlformats.org/package/2006/relationships"><Relationship Id="rId1" Type="http://schemas.openxmlformats.org/officeDocument/2006/relationships/image" Target="../media/image111.png"/>
</Relationships>
</file>

<file path=xl/drawings/_rels/drawing27.xml.rels><?xml version="1.0" encoding="UTF-8"?>
<Relationships xmlns="http://schemas.openxmlformats.org/package/2006/relationships"><Relationship Id="rId1" Type="http://schemas.openxmlformats.org/officeDocument/2006/relationships/image" Target="../media/image112.png"/>
</Relationships>
</file>

<file path=xl/drawings/_rels/drawing28.xml.rels><?xml version="1.0" encoding="UTF-8"?>
<Relationships xmlns="http://schemas.openxmlformats.org/package/2006/relationships"><Relationship Id="rId1" Type="http://schemas.openxmlformats.org/officeDocument/2006/relationships/image" Target="../media/image113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88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89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90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91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92.png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93.png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image" Target="../media/image9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514440</xdr:colOff>
      <xdr:row>1</xdr:row>
      <xdr:rowOff>186120</xdr:rowOff>
    </xdr:from>
    <xdr:to>
      <xdr:col>7</xdr:col>
      <xdr:colOff>783000</xdr:colOff>
      <xdr:row>5</xdr:row>
      <xdr:rowOff>20880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3892320" y="385920"/>
          <a:ext cx="5045760" cy="6350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347040</xdr:colOff>
      <xdr:row>1</xdr:row>
      <xdr:rowOff>78840</xdr:rowOff>
    </xdr:from>
    <xdr:to>
      <xdr:col>8</xdr:col>
      <xdr:colOff>508320</xdr:colOff>
      <xdr:row>4</xdr:row>
      <xdr:rowOff>116640</xdr:rowOff>
    </xdr:to>
    <xdr:pic>
      <xdr:nvPicPr>
        <xdr:cNvPr id="9" name="Imagem 1" descr=""/>
        <xdr:cNvPicPr/>
      </xdr:nvPicPr>
      <xdr:blipFill>
        <a:blip r:embed="rId1"/>
        <a:stretch/>
      </xdr:blipFill>
      <xdr:spPr>
        <a:xfrm>
          <a:off x="4326480" y="278640"/>
          <a:ext cx="4404960" cy="6379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264240</xdr:colOff>
      <xdr:row>1</xdr:row>
      <xdr:rowOff>126720</xdr:rowOff>
    </xdr:from>
    <xdr:to>
      <xdr:col>7</xdr:col>
      <xdr:colOff>1115280</xdr:colOff>
      <xdr:row>4</xdr:row>
      <xdr:rowOff>164520</xdr:rowOff>
    </xdr:to>
    <xdr:pic>
      <xdr:nvPicPr>
        <xdr:cNvPr id="10" name="Imagem 1" descr=""/>
        <xdr:cNvPicPr/>
      </xdr:nvPicPr>
      <xdr:blipFill>
        <a:blip r:embed="rId1"/>
        <a:stretch/>
      </xdr:blipFill>
      <xdr:spPr>
        <a:xfrm>
          <a:off x="4317840" y="326520"/>
          <a:ext cx="4146840" cy="6379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752400</xdr:colOff>
      <xdr:row>1</xdr:row>
      <xdr:rowOff>43200</xdr:rowOff>
    </xdr:from>
    <xdr:to>
      <xdr:col>7</xdr:col>
      <xdr:colOff>127080</xdr:colOff>
      <xdr:row>5</xdr:row>
      <xdr:rowOff>139320</xdr:rowOff>
    </xdr:to>
    <xdr:pic>
      <xdr:nvPicPr>
        <xdr:cNvPr id="11" name="Imagem 1" descr=""/>
        <xdr:cNvPicPr/>
      </xdr:nvPicPr>
      <xdr:blipFill>
        <a:blip r:embed="rId1"/>
        <a:stretch/>
      </xdr:blipFill>
      <xdr:spPr>
        <a:xfrm>
          <a:off x="5118480" y="243000"/>
          <a:ext cx="4079520" cy="8964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203400</xdr:colOff>
      <xdr:row>0</xdr:row>
      <xdr:rowOff>197280</xdr:rowOff>
    </xdr:from>
    <xdr:to>
      <xdr:col>7</xdr:col>
      <xdr:colOff>1841760</xdr:colOff>
      <xdr:row>4</xdr:row>
      <xdr:rowOff>33480</xdr:rowOff>
    </xdr:to>
    <xdr:pic>
      <xdr:nvPicPr>
        <xdr:cNvPr id="12" name="Imagem 1" descr=""/>
        <xdr:cNvPicPr/>
      </xdr:nvPicPr>
      <xdr:blipFill>
        <a:blip r:embed="rId1"/>
        <a:stretch/>
      </xdr:blipFill>
      <xdr:spPr>
        <a:xfrm>
          <a:off x="4849560" y="197280"/>
          <a:ext cx="4271040" cy="6361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799560</xdr:colOff>
      <xdr:row>1</xdr:row>
      <xdr:rowOff>126720</xdr:rowOff>
    </xdr:from>
    <xdr:to>
      <xdr:col>7</xdr:col>
      <xdr:colOff>925920</xdr:colOff>
      <xdr:row>4</xdr:row>
      <xdr:rowOff>164520</xdr:rowOff>
    </xdr:to>
    <xdr:pic>
      <xdr:nvPicPr>
        <xdr:cNvPr id="13" name="Imagem 1" descr=""/>
        <xdr:cNvPicPr/>
      </xdr:nvPicPr>
      <xdr:blipFill>
        <a:blip r:embed="rId1"/>
        <a:stretch/>
      </xdr:blipFill>
      <xdr:spPr>
        <a:xfrm>
          <a:off x="5112360" y="326520"/>
          <a:ext cx="4973760" cy="6379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1072440</xdr:colOff>
      <xdr:row>1</xdr:row>
      <xdr:rowOff>78840</xdr:rowOff>
    </xdr:from>
    <xdr:to>
      <xdr:col>7</xdr:col>
      <xdr:colOff>472320</xdr:colOff>
      <xdr:row>4</xdr:row>
      <xdr:rowOff>116640</xdr:rowOff>
    </xdr:to>
    <xdr:pic>
      <xdr:nvPicPr>
        <xdr:cNvPr id="14" name="Imagem 1" descr=""/>
        <xdr:cNvPicPr/>
      </xdr:nvPicPr>
      <xdr:blipFill>
        <a:blip r:embed="rId1"/>
        <a:stretch/>
      </xdr:blipFill>
      <xdr:spPr>
        <a:xfrm>
          <a:off x="5738400" y="278640"/>
          <a:ext cx="3903840" cy="6379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121680</xdr:colOff>
      <xdr:row>1</xdr:row>
      <xdr:rowOff>150480</xdr:rowOff>
    </xdr:from>
    <xdr:to>
      <xdr:col>7</xdr:col>
      <xdr:colOff>32400</xdr:colOff>
      <xdr:row>4</xdr:row>
      <xdr:rowOff>188280</xdr:rowOff>
    </xdr:to>
    <xdr:pic>
      <xdr:nvPicPr>
        <xdr:cNvPr id="15" name="Imagem 1" descr=""/>
        <xdr:cNvPicPr/>
      </xdr:nvPicPr>
      <xdr:blipFill>
        <a:blip r:embed="rId1"/>
        <a:stretch/>
      </xdr:blipFill>
      <xdr:spPr>
        <a:xfrm>
          <a:off x="5583600" y="350280"/>
          <a:ext cx="4568040" cy="6379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120960</xdr:colOff>
      <xdr:row>1</xdr:row>
      <xdr:rowOff>55080</xdr:rowOff>
    </xdr:from>
    <xdr:to>
      <xdr:col>7</xdr:col>
      <xdr:colOff>342720</xdr:colOff>
      <xdr:row>4</xdr:row>
      <xdr:rowOff>92880</xdr:rowOff>
    </xdr:to>
    <xdr:pic>
      <xdr:nvPicPr>
        <xdr:cNvPr id="16" name="Imagem 1" descr=""/>
        <xdr:cNvPicPr/>
      </xdr:nvPicPr>
      <xdr:blipFill>
        <a:blip r:embed="rId1"/>
        <a:stretch/>
      </xdr:blipFill>
      <xdr:spPr>
        <a:xfrm>
          <a:off x="4929120" y="254880"/>
          <a:ext cx="4514760" cy="6379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72360</xdr:colOff>
      <xdr:row>2</xdr:row>
      <xdr:rowOff>42480</xdr:rowOff>
    </xdr:from>
    <xdr:to>
      <xdr:col>7</xdr:col>
      <xdr:colOff>258840</xdr:colOff>
      <xdr:row>5</xdr:row>
      <xdr:rowOff>80280</xdr:rowOff>
    </xdr:to>
    <xdr:pic>
      <xdr:nvPicPr>
        <xdr:cNvPr id="17" name="Imagem 1" descr=""/>
        <xdr:cNvPicPr/>
      </xdr:nvPicPr>
      <xdr:blipFill>
        <a:blip r:embed="rId1"/>
        <a:stretch/>
      </xdr:blipFill>
      <xdr:spPr>
        <a:xfrm>
          <a:off x="5110920" y="442440"/>
          <a:ext cx="4388760" cy="6379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240480</xdr:colOff>
      <xdr:row>1</xdr:row>
      <xdr:rowOff>186120</xdr:rowOff>
    </xdr:from>
    <xdr:to>
      <xdr:col>7</xdr:col>
      <xdr:colOff>925560</xdr:colOff>
      <xdr:row>5</xdr:row>
      <xdr:rowOff>20880</xdr:rowOff>
    </xdr:to>
    <xdr:pic>
      <xdr:nvPicPr>
        <xdr:cNvPr id="18" name="Imagem 1" descr=""/>
        <xdr:cNvPicPr/>
      </xdr:nvPicPr>
      <xdr:blipFill>
        <a:blip r:embed="rId1"/>
        <a:stretch/>
      </xdr:blipFill>
      <xdr:spPr>
        <a:xfrm>
          <a:off x="5362200" y="385920"/>
          <a:ext cx="4487400" cy="6350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478080</xdr:colOff>
      <xdr:row>2</xdr:row>
      <xdr:rowOff>6840</xdr:rowOff>
    </xdr:from>
    <xdr:to>
      <xdr:col>8</xdr:col>
      <xdr:colOff>365400</xdr:colOff>
      <xdr:row>5</xdr:row>
      <xdr:rowOff>44640</xdr:rowOff>
    </xdr:to>
    <xdr:pic>
      <xdr:nvPicPr>
        <xdr:cNvPr id="1" name="Imagem 1" descr=""/>
        <xdr:cNvPicPr/>
      </xdr:nvPicPr>
      <xdr:blipFill>
        <a:blip r:embed="rId1"/>
        <a:stretch/>
      </xdr:blipFill>
      <xdr:spPr>
        <a:xfrm>
          <a:off x="4258080" y="406800"/>
          <a:ext cx="4917240" cy="6379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585000</xdr:colOff>
      <xdr:row>2</xdr:row>
      <xdr:rowOff>42480</xdr:rowOff>
    </xdr:from>
    <xdr:to>
      <xdr:col>6</xdr:col>
      <xdr:colOff>1091520</xdr:colOff>
      <xdr:row>5</xdr:row>
      <xdr:rowOff>80280</xdr:rowOff>
    </xdr:to>
    <xdr:pic>
      <xdr:nvPicPr>
        <xdr:cNvPr id="19" name="Imagem 1" descr=""/>
        <xdr:cNvPicPr/>
      </xdr:nvPicPr>
      <xdr:blipFill>
        <a:blip r:embed="rId1"/>
        <a:stretch/>
      </xdr:blipFill>
      <xdr:spPr>
        <a:xfrm>
          <a:off x="5029200" y="442440"/>
          <a:ext cx="4649400" cy="6379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561240</xdr:colOff>
      <xdr:row>2</xdr:row>
      <xdr:rowOff>114120</xdr:rowOff>
    </xdr:from>
    <xdr:to>
      <xdr:col>7</xdr:col>
      <xdr:colOff>329760</xdr:colOff>
      <xdr:row>5</xdr:row>
      <xdr:rowOff>151920</xdr:rowOff>
    </xdr:to>
    <xdr:pic>
      <xdr:nvPicPr>
        <xdr:cNvPr id="20" name="Imagem 1" descr=""/>
        <xdr:cNvPicPr/>
      </xdr:nvPicPr>
      <xdr:blipFill>
        <a:blip r:embed="rId1"/>
        <a:stretch/>
      </xdr:blipFill>
      <xdr:spPr>
        <a:xfrm>
          <a:off x="4681080" y="514080"/>
          <a:ext cx="3589200" cy="6379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1121760</xdr:colOff>
      <xdr:row>2</xdr:row>
      <xdr:rowOff>18720</xdr:rowOff>
    </xdr:from>
    <xdr:to>
      <xdr:col>7</xdr:col>
      <xdr:colOff>1092600</xdr:colOff>
      <xdr:row>5</xdr:row>
      <xdr:rowOff>56520</xdr:rowOff>
    </xdr:to>
    <xdr:pic>
      <xdr:nvPicPr>
        <xdr:cNvPr id="21" name="Imagem 1" descr=""/>
        <xdr:cNvPicPr/>
      </xdr:nvPicPr>
      <xdr:blipFill>
        <a:blip r:embed="rId1"/>
        <a:stretch/>
      </xdr:blipFill>
      <xdr:spPr>
        <a:xfrm>
          <a:off x="5503680" y="418680"/>
          <a:ext cx="4437360" cy="6379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324000</xdr:colOff>
      <xdr:row>2</xdr:row>
      <xdr:rowOff>6840</xdr:rowOff>
    </xdr:from>
    <xdr:to>
      <xdr:col>5</xdr:col>
      <xdr:colOff>1020960</xdr:colOff>
      <xdr:row>5</xdr:row>
      <xdr:rowOff>44640</xdr:rowOff>
    </xdr:to>
    <xdr:pic>
      <xdr:nvPicPr>
        <xdr:cNvPr id="22" name="Imagem 1" descr=""/>
        <xdr:cNvPicPr/>
      </xdr:nvPicPr>
      <xdr:blipFill>
        <a:blip r:embed="rId1"/>
        <a:stretch/>
      </xdr:blipFill>
      <xdr:spPr>
        <a:xfrm>
          <a:off x="4305240" y="406800"/>
          <a:ext cx="3649680" cy="6379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407160</xdr:colOff>
      <xdr:row>1</xdr:row>
      <xdr:rowOff>91080</xdr:rowOff>
    </xdr:from>
    <xdr:to>
      <xdr:col>7</xdr:col>
      <xdr:colOff>794160</xdr:colOff>
      <xdr:row>4</xdr:row>
      <xdr:rowOff>128880</xdr:rowOff>
    </xdr:to>
    <xdr:pic>
      <xdr:nvPicPr>
        <xdr:cNvPr id="23" name="Imagem 1" descr=""/>
        <xdr:cNvPicPr/>
      </xdr:nvPicPr>
      <xdr:blipFill>
        <a:blip r:embed="rId1"/>
        <a:stretch/>
      </xdr:blipFill>
      <xdr:spPr>
        <a:xfrm>
          <a:off x="5204880" y="290880"/>
          <a:ext cx="4226400" cy="6379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49320</xdr:colOff>
      <xdr:row>2</xdr:row>
      <xdr:rowOff>6840</xdr:rowOff>
    </xdr:from>
    <xdr:to>
      <xdr:col>7</xdr:col>
      <xdr:colOff>20160</xdr:colOff>
      <xdr:row>5</xdr:row>
      <xdr:rowOff>44640</xdr:rowOff>
    </xdr:to>
    <xdr:pic>
      <xdr:nvPicPr>
        <xdr:cNvPr id="24" name="Imagem 1" descr=""/>
        <xdr:cNvPicPr/>
      </xdr:nvPicPr>
      <xdr:blipFill>
        <a:blip r:embed="rId1"/>
        <a:stretch/>
      </xdr:blipFill>
      <xdr:spPr>
        <a:xfrm>
          <a:off x="4856760" y="406800"/>
          <a:ext cx="3994200" cy="6379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97560</xdr:colOff>
      <xdr:row>1</xdr:row>
      <xdr:rowOff>198000</xdr:rowOff>
    </xdr:from>
    <xdr:to>
      <xdr:col>7</xdr:col>
      <xdr:colOff>1116000</xdr:colOff>
      <xdr:row>5</xdr:row>
      <xdr:rowOff>32760</xdr:rowOff>
    </xdr:to>
    <xdr:pic>
      <xdr:nvPicPr>
        <xdr:cNvPr id="25" name="Imagem 1" descr=""/>
        <xdr:cNvPicPr/>
      </xdr:nvPicPr>
      <xdr:blipFill>
        <a:blip r:embed="rId1"/>
        <a:stretch/>
      </xdr:blipFill>
      <xdr:spPr>
        <a:xfrm>
          <a:off x="5124600" y="397800"/>
          <a:ext cx="5050080" cy="6350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1133640</xdr:colOff>
      <xdr:row>1</xdr:row>
      <xdr:rowOff>138600</xdr:rowOff>
    </xdr:from>
    <xdr:to>
      <xdr:col>6</xdr:col>
      <xdr:colOff>1187280</xdr:colOff>
      <xdr:row>4</xdr:row>
      <xdr:rowOff>176400</xdr:rowOff>
    </xdr:to>
    <xdr:pic>
      <xdr:nvPicPr>
        <xdr:cNvPr id="26" name="Imagem 1" descr=""/>
        <xdr:cNvPicPr/>
      </xdr:nvPicPr>
      <xdr:blipFill>
        <a:blip r:embed="rId1"/>
        <a:stretch/>
      </xdr:blipFill>
      <xdr:spPr>
        <a:xfrm>
          <a:off x="5001840" y="338400"/>
          <a:ext cx="4046040" cy="6379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2417040</xdr:colOff>
      <xdr:row>0</xdr:row>
      <xdr:rowOff>0</xdr:rowOff>
    </xdr:from>
    <xdr:to>
      <xdr:col>9</xdr:col>
      <xdr:colOff>104400</xdr:colOff>
      <xdr:row>4</xdr:row>
      <xdr:rowOff>103680</xdr:rowOff>
    </xdr:to>
    <xdr:pic>
      <xdr:nvPicPr>
        <xdr:cNvPr id="27" name="Imagem 1" descr=""/>
        <xdr:cNvPicPr/>
      </xdr:nvPicPr>
      <xdr:blipFill>
        <a:blip r:embed="rId1"/>
        <a:stretch/>
      </xdr:blipFill>
      <xdr:spPr>
        <a:xfrm>
          <a:off x="3515400" y="0"/>
          <a:ext cx="6304320" cy="875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2721240</xdr:colOff>
      <xdr:row>35</xdr:row>
      <xdr:rowOff>43920</xdr:rowOff>
    </xdr:to>
    <xdr:sp>
      <xdr:nvSpPr>
        <xdr:cNvPr id="28" name="CustomShape 1" hidden="1"/>
        <xdr:cNvSpPr/>
      </xdr:nvSpPr>
      <xdr:spPr>
        <a:xfrm>
          <a:off x="0" y="0"/>
          <a:ext cx="3819600" cy="95212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2721240</xdr:colOff>
      <xdr:row>35</xdr:row>
      <xdr:rowOff>43920</xdr:rowOff>
    </xdr:to>
    <xdr:sp>
      <xdr:nvSpPr>
        <xdr:cNvPr id="29" name="CustomShape 1" hidden="1"/>
        <xdr:cNvSpPr/>
      </xdr:nvSpPr>
      <xdr:spPr>
        <a:xfrm>
          <a:off x="0" y="0"/>
          <a:ext cx="3819600" cy="95212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2721240</xdr:colOff>
      <xdr:row>35</xdr:row>
      <xdr:rowOff>43920</xdr:rowOff>
    </xdr:to>
    <xdr:sp>
      <xdr:nvSpPr>
        <xdr:cNvPr id="30" name="CustomShape 1" hidden="1"/>
        <xdr:cNvSpPr/>
      </xdr:nvSpPr>
      <xdr:spPr>
        <a:xfrm>
          <a:off x="0" y="0"/>
          <a:ext cx="3819600" cy="95212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341640</xdr:colOff>
      <xdr:row>35</xdr:row>
      <xdr:rowOff>45360</xdr:rowOff>
    </xdr:to>
    <xdr:sp>
      <xdr:nvSpPr>
        <xdr:cNvPr id="31" name="CustomShape 1" hidden="1"/>
        <xdr:cNvSpPr/>
      </xdr:nvSpPr>
      <xdr:spPr>
        <a:xfrm>
          <a:off x="0" y="0"/>
          <a:ext cx="10056960" cy="9522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341640</xdr:colOff>
      <xdr:row>35</xdr:row>
      <xdr:rowOff>45360</xdr:rowOff>
    </xdr:to>
    <xdr:sp>
      <xdr:nvSpPr>
        <xdr:cNvPr id="32" name="CustomShape 1" hidden="1"/>
        <xdr:cNvSpPr/>
      </xdr:nvSpPr>
      <xdr:spPr>
        <a:xfrm>
          <a:off x="0" y="0"/>
          <a:ext cx="10056960" cy="9522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341640</xdr:colOff>
      <xdr:row>35</xdr:row>
      <xdr:rowOff>45360</xdr:rowOff>
    </xdr:to>
    <xdr:sp>
      <xdr:nvSpPr>
        <xdr:cNvPr id="33" name="CustomShape 1" hidden="1"/>
        <xdr:cNvSpPr/>
      </xdr:nvSpPr>
      <xdr:spPr>
        <a:xfrm>
          <a:off x="0" y="0"/>
          <a:ext cx="10056960" cy="9522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549360</xdr:colOff>
      <xdr:row>2</xdr:row>
      <xdr:rowOff>42480</xdr:rowOff>
    </xdr:from>
    <xdr:to>
      <xdr:col>6</xdr:col>
      <xdr:colOff>735120</xdr:colOff>
      <xdr:row>5</xdr:row>
      <xdr:rowOff>80280</xdr:rowOff>
    </xdr:to>
    <xdr:pic>
      <xdr:nvPicPr>
        <xdr:cNvPr id="2" name="Imagem 1" descr=""/>
        <xdr:cNvPicPr/>
      </xdr:nvPicPr>
      <xdr:blipFill>
        <a:blip r:embed="rId1"/>
        <a:stretch/>
      </xdr:blipFill>
      <xdr:spPr>
        <a:xfrm>
          <a:off x="4026600" y="442440"/>
          <a:ext cx="3660840" cy="6379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514440</xdr:colOff>
      <xdr:row>1</xdr:row>
      <xdr:rowOff>174240</xdr:rowOff>
    </xdr:from>
    <xdr:to>
      <xdr:col>8</xdr:col>
      <xdr:colOff>128160</xdr:colOff>
      <xdr:row>5</xdr:row>
      <xdr:rowOff>9000</xdr:rowOff>
    </xdr:to>
    <xdr:pic>
      <xdr:nvPicPr>
        <xdr:cNvPr id="3" name="Imagem 1" descr=""/>
        <xdr:cNvPicPr/>
      </xdr:nvPicPr>
      <xdr:blipFill>
        <a:blip r:embed="rId1"/>
        <a:stretch/>
      </xdr:blipFill>
      <xdr:spPr>
        <a:xfrm>
          <a:off x="4021200" y="374040"/>
          <a:ext cx="4341960" cy="6350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1800</xdr:colOff>
      <xdr:row>2</xdr:row>
      <xdr:rowOff>47520</xdr:rowOff>
    </xdr:from>
    <xdr:to>
      <xdr:col>7</xdr:col>
      <xdr:colOff>127440</xdr:colOff>
      <xdr:row>5</xdr:row>
      <xdr:rowOff>85320</xdr:rowOff>
    </xdr:to>
    <xdr:pic>
      <xdr:nvPicPr>
        <xdr:cNvPr id="4" name="Imagem 1" descr=""/>
        <xdr:cNvPicPr/>
      </xdr:nvPicPr>
      <xdr:blipFill>
        <a:blip r:embed="rId1"/>
        <a:stretch/>
      </xdr:blipFill>
      <xdr:spPr>
        <a:xfrm>
          <a:off x="4343760" y="447480"/>
          <a:ext cx="3682440" cy="6379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1002600</xdr:colOff>
      <xdr:row>1</xdr:row>
      <xdr:rowOff>198000</xdr:rowOff>
    </xdr:from>
    <xdr:to>
      <xdr:col>8</xdr:col>
      <xdr:colOff>829800</xdr:colOff>
      <xdr:row>5</xdr:row>
      <xdr:rowOff>32760</xdr:rowOff>
    </xdr:to>
    <xdr:pic>
      <xdr:nvPicPr>
        <xdr:cNvPr id="5" name="Imagem 1" descr=""/>
        <xdr:cNvPicPr/>
      </xdr:nvPicPr>
      <xdr:blipFill>
        <a:blip r:embed="rId1"/>
        <a:stretch/>
      </xdr:blipFill>
      <xdr:spPr>
        <a:xfrm>
          <a:off x="4448520" y="397800"/>
          <a:ext cx="4827960" cy="6350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799560</xdr:colOff>
      <xdr:row>1</xdr:row>
      <xdr:rowOff>174240</xdr:rowOff>
    </xdr:from>
    <xdr:to>
      <xdr:col>7</xdr:col>
      <xdr:colOff>1354680</xdr:colOff>
      <xdr:row>5</xdr:row>
      <xdr:rowOff>9000</xdr:rowOff>
    </xdr:to>
    <xdr:pic>
      <xdr:nvPicPr>
        <xdr:cNvPr id="6" name="Imagem 1" descr=""/>
        <xdr:cNvPicPr/>
      </xdr:nvPicPr>
      <xdr:blipFill>
        <a:blip r:embed="rId1"/>
        <a:stretch/>
      </xdr:blipFill>
      <xdr:spPr>
        <a:xfrm>
          <a:off x="4658400" y="374040"/>
          <a:ext cx="3952080" cy="6350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85680</xdr:colOff>
      <xdr:row>1</xdr:row>
      <xdr:rowOff>186120</xdr:rowOff>
    </xdr:from>
    <xdr:to>
      <xdr:col>7</xdr:col>
      <xdr:colOff>758880</xdr:colOff>
      <xdr:row>5</xdr:row>
      <xdr:rowOff>20880</xdr:rowOff>
    </xdr:to>
    <xdr:pic>
      <xdr:nvPicPr>
        <xdr:cNvPr id="7" name="Imagem 1" descr=""/>
        <xdr:cNvPicPr/>
      </xdr:nvPicPr>
      <xdr:blipFill>
        <a:blip r:embed="rId1"/>
        <a:stretch/>
      </xdr:blipFill>
      <xdr:spPr>
        <a:xfrm>
          <a:off x="4330440" y="385920"/>
          <a:ext cx="3625920" cy="6350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323280</xdr:colOff>
      <xdr:row>1</xdr:row>
      <xdr:rowOff>186120</xdr:rowOff>
    </xdr:from>
    <xdr:to>
      <xdr:col>7</xdr:col>
      <xdr:colOff>437040</xdr:colOff>
      <xdr:row>5</xdr:row>
      <xdr:rowOff>20880</xdr:rowOff>
    </xdr:to>
    <xdr:pic>
      <xdr:nvPicPr>
        <xdr:cNvPr id="8" name="Imagem 1" descr=""/>
        <xdr:cNvPicPr/>
      </xdr:nvPicPr>
      <xdr:blipFill>
        <a:blip r:embed="rId1"/>
        <a:stretch/>
      </xdr:blipFill>
      <xdr:spPr>
        <a:xfrm>
          <a:off x="4736520" y="385920"/>
          <a:ext cx="4396680" cy="63504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13.x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drawing" Target="../drawings/drawing14.xml"/>
</Relationships>
</file>

<file path=xl/worksheets/_rels/sheet17.xml.rels><?xml version="1.0" encoding="UTF-8"?>
<Relationships xmlns="http://schemas.openxmlformats.org/package/2006/relationships"><Relationship Id="rId1" Type="http://schemas.openxmlformats.org/officeDocument/2006/relationships/drawing" Target="../drawings/drawing15.xml"/>
</Relationships>
</file>

<file path=xl/worksheets/_rels/sheet18.xml.rels><?xml version="1.0" encoding="UTF-8"?>
<Relationships xmlns="http://schemas.openxmlformats.org/package/2006/relationships"><Relationship Id="rId1" Type="http://schemas.openxmlformats.org/officeDocument/2006/relationships/drawing" Target="../drawings/drawing16.xml"/>
</Relationships>
</file>

<file path=xl/worksheets/_rels/sheet19.xml.rels><?xml version="1.0" encoding="UTF-8"?>
<Relationships xmlns="http://schemas.openxmlformats.org/package/2006/relationships"><Relationship Id="rId1" Type="http://schemas.openxmlformats.org/officeDocument/2006/relationships/drawing" Target="../drawings/drawing17.xml"/>
</Relationships>
</file>

<file path=xl/worksheets/_rels/sheet20.xml.rels><?xml version="1.0" encoding="UTF-8"?>
<Relationships xmlns="http://schemas.openxmlformats.org/package/2006/relationships"><Relationship Id="rId1" Type="http://schemas.openxmlformats.org/officeDocument/2006/relationships/drawing" Target="../drawings/drawing18.xml"/>
</Relationships>
</file>

<file path=xl/worksheets/_rels/sheet21.xml.rels><?xml version="1.0" encoding="UTF-8"?>
<Relationships xmlns="http://schemas.openxmlformats.org/package/2006/relationships"><Relationship Id="rId1" Type="http://schemas.openxmlformats.org/officeDocument/2006/relationships/drawing" Target="../drawings/drawing19.xml"/>
</Relationships>
</file>

<file path=xl/worksheets/_rels/sheet22.xml.rels><?xml version="1.0" encoding="UTF-8"?>
<Relationships xmlns="http://schemas.openxmlformats.org/package/2006/relationships"><Relationship Id="rId1" Type="http://schemas.openxmlformats.org/officeDocument/2006/relationships/drawing" Target="../drawings/drawing20.xml"/>
</Relationships>
</file>

<file path=xl/worksheets/_rels/sheet23.xml.rels><?xml version="1.0" encoding="UTF-8"?>
<Relationships xmlns="http://schemas.openxmlformats.org/package/2006/relationships"><Relationship Id="rId1" Type="http://schemas.openxmlformats.org/officeDocument/2006/relationships/drawing" Target="../drawings/drawing21.xml"/>
</Relationships>
</file>

<file path=xl/worksheets/_rels/sheet24.xml.rels><?xml version="1.0" encoding="UTF-8"?>
<Relationships xmlns="http://schemas.openxmlformats.org/package/2006/relationships"><Relationship Id="rId1" Type="http://schemas.openxmlformats.org/officeDocument/2006/relationships/drawing" Target="../drawings/drawing22.xml"/>
</Relationships>
</file>

<file path=xl/worksheets/_rels/sheet25.xml.rels><?xml version="1.0" encoding="UTF-8"?>
<Relationships xmlns="http://schemas.openxmlformats.org/package/2006/relationships"><Relationship Id="rId1" Type="http://schemas.openxmlformats.org/officeDocument/2006/relationships/drawing" Target="../drawings/drawing23.xml"/>
</Relationships>
</file>

<file path=xl/worksheets/_rels/sheet26.xml.rels><?xml version="1.0" encoding="UTF-8"?>
<Relationships xmlns="http://schemas.openxmlformats.org/package/2006/relationships"><Relationship Id="rId1" Type="http://schemas.openxmlformats.org/officeDocument/2006/relationships/drawing" Target="../drawings/drawing24.xml"/>
</Relationships>
</file>

<file path=xl/worksheets/_rels/sheet27.xml.rels><?xml version="1.0" encoding="UTF-8"?>
<Relationships xmlns="http://schemas.openxmlformats.org/package/2006/relationships"><Relationship Id="rId1" Type="http://schemas.openxmlformats.org/officeDocument/2006/relationships/drawing" Target="../drawings/drawing25.xml"/>
</Relationships>
</file>

<file path=xl/worksheets/_rels/sheet28.xml.rels><?xml version="1.0" encoding="UTF-8"?>
<Relationships xmlns="http://schemas.openxmlformats.org/package/2006/relationships"><Relationship Id="rId1" Type="http://schemas.openxmlformats.org/officeDocument/2006/relationships/drawing" Target="../drawings/drawing26.xml"/>
</Relationships>
</file>

<file path=xl/worksheets/_rels/sheet29.xml.rels><?xml version="1.0" encoding="UTF-8"?>
<Relationships xmlns="http://schemas.openxmlformats.org/package/2006/relationships"><Relationship Id="rId1" Type="http://schemas.openxmlformats.org/officeDocument/2006/relationships/drawing" Target="../drawings/drawing27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0.xml.rels><?xml version="1.0" encoding="UTF-8"?>
<Relationships xmlns="http://schemas.openxmlformats.org/package/2006/relationships"><Relationship Id="rId1" Type="http://schemas.openxmlformats.org/officeDocument/2006/relationships/comments" Target="../comments30.xml"/><Relationship Id="rId2" Type="http://schemas.openxmlformats.org/officeDocument/2006/relationships/hyperlink" Target="mailto:sulport-rs@hotmail.com" TargetMode="External"/><Relationship Id="rId3" Type="http://schemas.openxmlformats.org/officeDocument/2006/relationships/drawing" Target="../drawings/drawing28.xml"/><Relationship Id="rId4" Type="http://schemas.openxmlformats.org/officeDocument/2006/relationships/vmlDrawing" Target="../drawings/vmlDrawing1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E6B9B8"/>
    <pageSetUpPr fitToPage="false"/>
  </sheetPr>
  <dimension ref="A1:N147"/>
  <sheetViews>
    <sheetView showFormulas="false" showGridLines="true" showRowColHeaders="true" showZeros="true" rightToLeft="false" tabSelected="false" showOutlineSymbols="true" defaultGridColor="true" view="pageBreakPreview" topLeftCell="F13" colorId="64" zoomScale="76" zoomScaleNormal="100" zoomScalePageLayoutView="76" workbookViewId="0">
      <selection pane="topLeft" activeCell="U122" activeCellId="0" sqref="U122"/>
    </sheetView>
  </sheetViews>
  <sheetFormatPr defaultRowHeight="15" zeroHeight="false" outlineLevelRow="0" outlineLevelCol="0"/>
  <cols>
    <col collapsed="false" customWidth="true" hidden="false" outlineLevel="0" max="1" min="1" style="1" width="30.57"/>
    <col collapsed="false" customWidth="true" hidden="false" outlineLevel="0" max="2" min="2" style="1" width="43.71"/>
    <col collapsed="false" customWidth="true" hidden="false" outlineLevel="0" max="3" min="3" style="1" width="35.71"/>
    <col collapsed="false" customWidth="true" hidden="false" outlineLevel="0" max="4" min="4" style="1" width="36"/>
    <col collapsed="false" customWidth="true" hidden="false" outlineLevel="0" max="5" min="5" style="1" width="44.85"/>
    <col collapsed="false" customWidth="true" hidden="false" outlineLevel="0" max="6" min="6" style="1" width="40.88"/>
    <col collapsed="false" customWidth="true" hidden="false" outlineLevel="0" max="7" min="7" style="1" width="39.14"/>
    <col collapsed="false" customWidth="true" hidden="false" outlineLevel="0" max="8" min="8" style="1" width="51.71"/>
    <col collapsed="false" customWidth="true" hidden="false" outlineLevel="0" max="9" min="9" style="1" width="76.29"/>
    <col collapsed="false" customWidth="true" hidden="true" outlineLevel="0" max="11" min="10" style="1" width="9"/>
    <col collapsed="false" customWidth="true" hidden="false" outlineLevel="0" max="12" min="12" style="1" width="58.57"/>
    <col collapsed="false" customWidth="true" hidden="false" outlineLevel="0" max="13" min="13" style="1" width="34.71"/>
    <col collapsed="false" customWidth="true" hidden="false" outlineLevel="0" max="1025" min="14" style="1" width="28.57"/>
  </cols>
  <sheetData>
    <row r="1" customFormat="false" ht="17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Format="false" ht="15.7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</row>
    <row r="3" customFormat="false" ht="15.75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</row>
    <row r="4" customFormat="false" ht="15.75" hidden="false" customHeight="false" outlineLevel="0" collapsed="false">
      <c r="A4" s="5" t="s">
        <v>3</v>
      </c>
      <c r="B4" s="5"/>
      <c r="C4" s="5"/>
      <c r="D4" s="5"/>
      <c r="E4" s="5"/>
      <c r="F4" s="5"/>
      <c r="G4" s="5"/>
      <c r="H4" s="5"/>
      <c r="I4" s="5"/>
    </row>
    <row r="5" customFormat="false" ht="15.75" hidden="false" customHeight="false" outlineLevel="0" collapsed="false">
      <c r="A5" s="6" t="s">
        <v>4</v>
      </c>
      <c r="B5" s="6"/>
      <c r="C5" s="6"/>
      <c r="D5" s="6"/>
      <c r="E5" s="6"/>
      <c r="F5" s="6"/>
      <c r="G5" s="6"/>
      <c r="H5" s="6"/>
      <c r="I5" s="6"/>
    </row>
    <row r="6" customFormat="false" ht="15.75" hidden="false" customHeight="false" outlineLevel="0" collapsed="false">
      <c r="A6" s="7" t="s">
        <v>5</v>
      </c>
      <c r="B6" s="7"/>
      <c r="C6" s="7"/>
      <c r="D6" s="7"/>
      <c r="E6" s="7"/>
      <c r="F6" s="7"/>
      <c r="G6" s="7"/>
      <c r="H6" s="7"/>
      <c r="I6" s="7"/>
    </row>
    <row r="7" customFormat="false" ht="15.75" hidden="false" customHeight="false" outlineLevel="0" collapsed="false">
      <c r="A7" s="8" t="s">
        <v>6</v>
      </c>
      <c r="B7" s="8"/>
      <c r="C7" s="8"/>
      <c r="D7" s="8"/>
      <c r="E7" s="8"/>
      <c r="F7" s="8"/>
      <c r="G7" s="8"/>
      <c r="H7" s="8"/>
      <c r="I7" s="8"/>
    </row>
    <row r="8" customFormat="false" ht="15.75" hidden="false" customHeight="false" outlineLevel="0" collapsed="false">
      <c r="A8" s="9" t="s">
        <v>7</v>
      </c>
      <c r="B8" s="9"/>
      <c r="C8" s="9"/>
      <c r="D8" s="9"/>
      <c r="E8" s="9"/>
      <c r="F8" s="9"/>
      <c r="G8" s="9"/>
      <c r="H8" s="9"/>
      <c r="I8" s="9"/>
    </row>
    <row r="9" customFormat="false" ht="15.75" hidden="false" customHeight="false" outlineLevel="0" collapsed="false">
      <c r="A9" s="10" t="s">
        <v>8</v>
      </c>
      <c r="B9" s="11" t="s">
        <v>9</v>
      </c>
      <c r="C9" s="11"/>
      <c r="D9" s="11"/>
      <c r="E9" s="11"/>
      <c r="F9" s="11"/>
      <c r="G9" s="11"/>
      <c r="H9" s="11"/>
      <c r="I9" s="12"/>
      <c r="L9" s="13"/>
    </row>
    <row r="10" customFormat="false" ht="15.75" hidden="false" customHeight="false" outlineLevel="0" collapsed="false">
      <c r="A10" s="14" t="s">
        <v>10</v>
      </c>
      <c r="B10" s="15" t="s">
        <v>11</v>
      </c>
      <c r="C10" s="15"/>
      <c r="D10" s="15"/>
      <c r="E10" s="15"/>
      <c r="F10" s="15"/>
      <c r="G10" s="15"/>
      <c r="H10" s="15"/>
      <c r="I10" s="16"/>
      <c r="L10" s="13"/>
    </row>
    <row r="11" customFormat="false" ht="33" hidden="false" customHeight="true" outlineLevel="0" collapsed="false">
      <c r="A11" s="17" t="s">
        <v>12</v>
      </c>
      <c r="B11" s="18" t="s">
        <v>13</v>
      </c>
      <c r="C11" s="18"/>
      <c r="D11" s="18"/>
      <c r="E11" s="18"/>
      <c r="F11" s="18"/>
      <c r="G11" s="18"/>
      <c r="H11" s="18"/>
      <c r="I11" s="19"/>
      <c r="L11" s="13"/>
    </row>
    <row r="12" customFormat="false" ht="15.75" hidden="false" customHeight="false" outlineLevel="0" collapsed="false">
      <c r="A12" s="20" t="s">
        <v>14</v>
      </c>
      <c r="B12" s="21" t="s">
        <v>15</v>
      </c>
      <c r="C12" s="21"/>
      <c r="D12" s="21"/>
      <c r="E12" s="21"/>
      <c r="F12" s="21"/>
      <c r="G12" s="21"/>
      <c r="H12" s="21"/>
      <c r="I12" s="22" t="n">
        <v>12</v>
      </c>
    </row>
    <row r="13" customFormat="false" ht="15.75" hidden="false" customHeight="false" outlineLevel="0" collapsed="false">
      <c r="A13" s="9" t="s">
        <v>16</v>
      </c>
      <c r="B13" s="9"/>
      <c r="C13" s="9"/>
      <c r="D13" s="9"/>
      <c r="E13" s="9"/>
      <c r="F13" s="9"/>
      <c r="G13" s="9"/>
      <c r="H13" s="9"/>
      <c r="I13" s="9"/>
    </row>
    <row r="14" customFormat="false" ht="15.75" hidden="false" customHeight="false" outlineLevel="0" collapsed="false">
      <c r="A14" s="23" t="s">
        <v>17</v>
      </c>
      <c r="B14" s="23"/>
      <c r="C14" s="23"/>
      <c r="D14" s="23"/>
      <c r="E14" s="24" t="s">
        <v>18</v>
      </c>
      <c r="F14" s="24"/>
      <c r="G14" s="25" t="s">
        <v>19</v>
      </c>
      <c r="H14" s="25"/>
      <c r="I14" s="25"/>
    </row>
    <row r="15" customFormat="false" ht="18.75" hidden="false" customHeight="true" outlineLevel="0" collapsed="false">
      <c r="A15" s="26" t="s">
        <v>20</v>
      </c>
      <c r="B15" s="26"/>
      <c r="C15" s="26"/>
      <c r="D15" s="26"/>
      <c r="E15" s="27" t="s">
        <v>21</v>
      </c>
      <c r="F15" s="27"/>
      <c r="G15" s="28"/>
      <c r="H15" s="28"/>
      <c r="I15" s="28"/>
    </row>
    <row r="16" customFormat="false" ht="30.75" hidden="false" customHeight="true" outlineLevel="0" collapsed="false">
      <c r="A16" s="29"/>
      <c r="B16" s="29"/>
      <c r="C16" s="29"/>
      <c r="D16" s="29"/>
      <c r="E16" s="27"/>
      <c r="F16" s="27"/>
      <c r="G16" s="28"/>
      <c r="H16" s="28"/>
      <c r="I16" s="28"/>
      <c r="L16" s="30"/>
    </row>
    <row r="17" customFormat="false" ht="15.75" hidden="false" customHeight="false" outlineLevel="0" collapsed="false">
      <c r="A17" s="31"/>
      <c r="B17" s="32"/>
      <c r="C17" s="32"/>
      <c r="D17" s="32"/>
      <c r="E17" s="32"/>
      <c r="F17" s="32"/>
      <c r="G17" s="32"/>
      <c r="H17" s="32"/>
      <c r="I17" s="32"/>
    </row>
    <row r="18" customFormat="false" ht="15.75" hidden="false" customHeight="false" outlineLevel="0" collapsed="false">
      <c r="A18" s="33" t="s">
        <v>22</v>
      </c>
      <c r="B18" s="33"/>
      <c r="C18" s="33"/>
      <c r="D18" s="33"/>
      <c r="E18" s="33"/>
      <c r="F18" s="33"/>
      <c r="G18" s="33"/>
      <c r="H18" s="33"/>
      <c r="I18" s="33"/>
    </row>
    <row r="19" customFormat="false" ht="15.75" hidden="false" customHeight="false" outlineLevel="0" collapsed="false">
      <c r="A19" s="34" t="s">
        <v>23</v>
      </c>
      <c r="B19" s="34"/>
      <c r="C19" s="34"/>
      <c r="D19" s="34"/>
      <c r="E19" s="34"/>
      <c r="F19" s="34"/>
      <c r="G19" s="34"/>
      <c r="H19" s="34"/>
      <c r="I19" s="34"/>
    </row>
    <row r="20" customFormat="false" ht="15.75" hidden="false" customHeight="false" outlineLevel="0" collapsed="false">
      <c r="A20" s="35" t="s">
        <v>24</v>
      </c>
      <c r="B20" s="35"/>
      <c r="C20" s="35"/>
      <c r="D20" s="35"/>
      <c r="E20" s="35"/>
      <c r="F20" s="35"/>
      <c r="G20" s="35"/>
      <c r="H20" s="35"/>
      <c r="I20" s="35"/>
    </row>
    <row r="21" customFormat="false" ht="15.75" hidden="false" customHeight="true" outlineLevel="0" collapsed="false">
      <c r="A21" s="14" t="n">
        <v>1</v>
      </c>
      <c r="B21" s="36" t="s">
        <v>25</v>
      </c>
      <c r="C21" s="36"/>
      <c r="D21" s="36"/>
      <c r="E21" s="36"/>
      <c r="F21" s="36"/>
      <c r="G21" s="36"/>
      <c r="H21" s="36"/>
      <c r="I21" s="37" t="s">
        <v>26</v>
      </c>
    </row>
    <row r="22" customFormat="false" ht="15.75" hidden="false" customHeight="true" outlineLevel="0" collapsed="false">
      <c r="A22" s="14" t="n">
        <v>2</v>
      </c>
      <c r="B22" s="38" t="s">
        <v>27</v>
      </c>
      <c r="C22" s="38"/>
      <c r="D22" s="38"/>
      <c r="E22" s="38"/>
      <c r="F22" s="38"/>
      <c r="G22" s="38"/>
      <c r="H22" s="38"/>
      <c r="I22" s="39"/>
    </row>
    <row r="23" customFormat="false" ht="15.75" hidden="false" customHeight="true" outlineLevel="0" collapsed="false">
      <c r="A23" s="14" t="n">
        <v>3</v>
      </c>
      <c r="B23" s="38" t="s">
        <v>28</v>
      </c>
      <c r="C23" s="38"/>
      <c r="D23" s="38"/>
      <c r="E23" s="38"/>
      <c r="F23" s="38"/>
      <c r="G23" s="38"/>
      <c r="H23" s="38"/>
      <c r="I23" s="39"/>
    </row>
    <row r="24" customFormat="false" ht="15.75" hidden="false" customHeight="true" outlineLevel="0" collapsed="false">
      <c r="A24" s="40" t="n">
        <v>4</v>
      </c>
      <c r="B24" s="41" t="s">
        <v>29</v>
      </c>
      <c r="C24" s="41"/>
      <c r="D24" s="41"/>
      <c r="E24" s="41"/>
      <c r="F24" s="41"/>
      <c r="G24" s="41"/>
      <c r="H24" s="41"/>
      <c r="I24" s="42"/>
    </row>
    <row r="25" customFormat="false" ht="15.75" hidden="false" customHeight="true" outlineLevel="0" collapsed="false">
      <c r="A25" s="40" t="n">
        <v>5</v>
      </c>
      <c r="B25" s="38" t="s">
        <v>30</v>
      </c>
      <c r="C25" s="38"/>
      <c r="D25" s="38"/>
      <c r="E25" s="38"/>
      <c r="F25" s="38"/>
      <c r="G25" s="38"/>
      <c r="H25" s="38"/>
      <c r="I25" s="43"/>
    </row>
    <row r="26" customFormat="false" ht="15.75" hidden="false" customHeight="true" outlineLevel="0" collapsed="false">
      <c r="A26" s="40" t="n">
        <v>6</v>
      </c>
      <c r="B26" s="38" t="s">
        <v>31</v>
      </c>
      <c r="C26" s="38"/>
      <c r="D26" s="38"/>
      <c r="E26" s="38"/>
      <c r="F26" s="38"/>
      <c r="G26" s="38"/>
      <c r="H26" s="38"/>
      <c r="I26" s="43"/>
    </row>
    <row r="27" customFormat="false" ht="16.5" hidden="false" customHeight="true" outlineLevel="0" collapsed="false">
      <c r="A27" s="20" t="n">
        <v>7</v>
      </c>
      <c r="B27" s="44" t="s">
        <v>32</v>
      </c>
      <c r="C27" s="44"/>
      <c r="D27" s="44"/>
      <c r="E27" s="44"/>
      <c r="F27" s="44"/>
      <c r="G27" s="44"/>
      <c r="H27" s="44"/>
      <c r="I27" s="45"/>
    </row>
    <row r="28" customFormat="false" ht="15.75" hidden="false" customHeight="false" outlineLevel="0" collapsed="false">
      <c r="A28" s="46"/>
      <c r="B28" s="46"/>
      <c r="C28" s="46"/>
      <c r="D28" s="46"/>
      <c r="E28" s="46"/>
      <c r="F28" s="46"/>
      <c r="G28" s="46"/>
      <c r="H28" s="46"/>
      <c r="I28" s="46"/>
    </row>
    <row r="29" customFormat="false" ht="15.75" hidden="false" customHeight="false" outlineLevel="0" collapsed="false">
      <c r="A29" s="47" t="s">
        <v>33</v>
      </c>
      <c r="B29" s="47"/>
      <c r="C29" s="47"/>
      <c r="D29" s="47"/>
      <c r="E29" s="47"/>
      <c r="F29" s="47"/>
      <c r="G29" s="47"/>
      <c r="H29" s="47"/>
      <c r="I29" s="47"/>
    </row>
    <row r="30" customFormat="false" ht="15.75" hidden="false" customHeight="false" outlineLevel="0" collapsed="false">
      <c r="A30" s="48" t="n">
        <v>1</v>
      </c>
      <c r="B30" s="49" t="s">
        <v>34</v>
      </c>
      <c r="C30" s="49"/>
      <c r="D30" s="49"/>
      <c r="E30" s="49"/>
      <c r="F30" s="49"/>
      <c r="G30" s="49"/>
      <c r="H30" s="49"/>
      <c r="I30" s="50" t="s">
        <v>35</v>
      </c>
      <c r="L30" s="51"/>
    </row>
    <row r="31" customFormat="false" ht="15.75" hidden="false" customHeight="false" outlineLevel="0" collapsed="false">
      <c r="A31" s="17" t="s">
        <v>8</v>
      </c>
      <c r="B31" s="52" t="s">
        <v>36</v>
      </c>
      <c r="C31" s="52"/>
      <c r="D31" s="52"/>
      <c r="E31" s="52"/>
      <c r="F31" s="52"/>
      <c r="G31" s="52"/>
      <c r="H31" s="52"/>
      <c r="I31" s="53"/>
      <c r="L31" s="51"/>
    </row>
    <row r="32" customFormat="false" ht="34.5" hidden="false" customHeight="true" outlineLevel="0" collapsed="false">
      <c r="A32" s="17" t="s">
        <v>10</v>
      </c>
      <c r="B32" s="54" t="s">
        <v>37</v>
      </c>
      <c r="C32" s="54"/>
      <c r="D32" s="54"/>
      <c r="E32" s="54"/>
      <c r="F32" s="54"/>
      <c r="G32" s="54"/>
      <c r="H32" s="54"/>
      <c r="I32" s="53"/>
      <c r="L32" s="55"/>
    </row>
    <row r="33" customFormat="false" ht="49.5" hidden="false" customHeight="true" outlineLevel="0" collapsed="false">
      <c r="A33" s="17" t="s">
        <v>12</v>
      </c>
      <c r="B33" s="54" t="s">
        <v>38</v>
      </c>
      <c r="C33" s="54"/>
      <c r="D33" s="54"/>
      <c r="E33" s="54"/>
      <c r="F33" s="54"/>
      <c r="G33" s="54"/>
      <c r="H33" s="54"/>
      <c r="I33" s="53"/>
      <c r="L33" s="55"/>
      <c r="M33" s="56"/>
    </row>
    <row r="34" customFormat="false" ht="30.75" hidden="false" customHeight="true" outlineLevel="0" collapsed="false">
      <c r="A34" s="17" t="s">
        <v>14</v>
      </c>
      <c r="B34" s="54" t="s">
        <v>39</v>
      </c>
      <c r="C34" s="54"/>
      <c r="D34" s="54"/>
      <c r="E34" s="54"/>
      <c r="F34" s="54"/>
      <c r="G34" s="54"/>
      <c r="H34" s="54"/>
      <c r="I34" s="53"/>
      <c r="L34" s="57"/>
    </row>
    <row r="35" customFormat="false" ht="50.25" hidden="false" customHeight="true" outlineLevel="0" collapsed="false">
      <c r="A35" s="17" t="s">
        <v>40</v>
      </c>
      <c r="B35" s="54" t="s">
        <v>41</v>
      </c>
      <c r="C35" s="54"/>
      <c r="D35" s="54"/>
      <c r="E35" s="54"/>
      <c r="F35" s="54"/>
      <c r="G35" s="54"/>
      <c r="H35" s="54"/>
      <c r="I35" s="53"/>
      <c r="L35" s="57"/>
    </row>
    <row r="36" customFormat="false" ht="18.75" hidden="false" customHeight="true" outlineLevel="0" collapsed="false">
      <c r="A36" s="17" t="s">
        <v>42</v>
      </c>
      <c r="B36" s="58" t="s">
        <v>43</v>
      </c>
      <c r="C36" s="58"/>
      <c r="D36" s="58"/>
      <c r="E36" s="58"/>
      <c r="F36" s="58"/>
      <c r="G36" s="58"/>
      <c r="H36" s="58"/>
      <c r="I36" s="53"/>
      <c r="K36" s="59"/>
      <c r="M36" s="57"/>
    </row>
    <row r="37" customFormat="false" ht="19.5" hidden="false" customHeight="true" outlineLevel="0" collapsed="false">
      <c r="A37" s="60" t="s">
        <v>44</v>
      </c>
      <c r="B37" s="60"/>
      <c r="C37" s="60"/>
      <c r="D37" s="60"/>
      <c r="E37" s="60"/>
      <c r="F37" s="60"/>
      <c r="G37" s="60"/>
      <c r="H37" s="60"/>
      <c r="I37" s="61"/>
    </row>
    <row r="38" customFormat="false" ht="15.75" hidden="false" customHeight="false" outlineLevel="0" collapsed="false">
      <c r="A38" s="47" t="s">
        <v>45</v>
      </c>
      <c r="B38" s="47"/>
      <c r="C38" s="47"/>
      <c r="D38" s="47"/>
      <c r="E38" s="47"/>
      <c r="F38" s="47"/>
      <c r="G38" s="47"/>
      <c r="H38" s="47"/>
      <c r="I38" s="47"/>
    </row>
    <row r="39" customFormat="false" ht="15.75" hidden="false" customHeight="false" outlineLevel="0" collapsed="false">
      <c r="A39" s="62" t="n">
        <v>2</v>
      </c>
      <c r="B39" s="63" t="s">
        <v>46</v>
      </c>
      <c r="C39" s="63"/>
      <c r="D39" s="63"/>
      <c r="E39" s="63"/>
      <c r="F39" s="63"/>
      <c r="G39" s="63"/>
      <c r="H39" s="63"/>
      <c r="I39" s="50" t="s">
        <v>35</v>
      </c>
    </row>
    <row r="40" customFormat="false" ht="19.5" hidden="false" customHeight="true" outlineLevel="0" collapsed="false">
      <c r="A40" s="64" t="s">
        <v>8</v>
      </c>
      <c r="B40" s="54" t="s">
        <v>47</v>
      </c>
      <c r="C40" s="54"/>
      <c r="D40" s="54"/>
      <c r="E40" s="54"/>
      <c r="F40" s="54"/>
      <c r="G40" s="54"/>
      <c r="H40" s="54"/>
      <c r="I40" s="65"/>
      <c r="L40" s="66"/>
    </row>
    <row r="41" customFormat="false" ht="33" hidden="false" customHeight="true" outlineLevel="0" collapsed="false">
      <c r="A41" s="64"/>
      <c r="B41" s="67" t="s">
        <v>48</v>
      </c>
      <c r="C41" s="67"/>
      <c r="D41" s="67"/>
      <c r="E41" s="67"/>
      <c r="F41" s="67"/>
      <c r="G41" s="67"/>
      <c r="H41" s="68"/>
      <c r="I41" s="65"/>
    </row>
    <row r="42" customFormat="false" ht="17.25" hidden="false" customHeight="true" outlineLevel="0" collapsed="false">
      <c r="A42" s="64"/>
      <c r="B42" s="69" t="s">
        <v>49</v>
      </c>
      <c r="C42" s="69"/>
      <c r="D42" s="69"/>
      <c r="E42" s="69"/>
      <c r="F42" s="69"/>
      <c r="G42" s="69"/>
      <c r="H42" s="70"/>
      <c r="I42" s="65"/>
    </row>
    <row r="43" customFormat="false" ht="16.5" hidden="false" customHeight="true" outlineLevel="0" collapsed="false">
      <c r="A43" s="64" t="s">
        <v>10</v>
      </c>
      <c r="B43" s="54" t="s">
        <v>50</v>
      </c>
      <c r="C43" s="54"/>
      <c r="D43" s="54"/>
      <c r="E43" s="54"/>
      <c r="F43" s="54"/>
      <c r="G43" s="54"/>
      <c r="H43" s="54"/>
      <c r="I43" s="65"/>
    </row>
    <row r="44" customFormat="false" ht="16.5" hidden="false" customHeight="true" outlineLevel="0" collapsed="false">
      <c r="A44" s="64"/>
      <c r="B44" s="69" t="s">
        <v>51</v>
      </c>
      <c r="C44" s="69"/>
      <c r="D44" s="69"/>
      <c r="E44" s="69"/>
      <c r="F44" s="69"/>
      <c r="G44" s="69"/>
      <c r="H44" s="71"/>
      <c r="I44" s="72"/>
    </row>
    <row r="45" customFormat="false" ht="24" hidden="false" customHeight="true" outlineLevel="0" collapsed="false">
      <c r="A45" s="17" t="s">
        <v>12</v>
      </c>
      <c r="B45" s="58" t="s">
        <v>52</v>
      </c>
      <c r="C45" s="58"/>
      <c r="D45" s="58"/>
      <c r="E45" s="58"/>
      <c r="F45" s="58"/>
      <c r="G45" s="58"/>
      <c r="H45" s="58"/>
      <c r="I45" s="65"/>
    </row>
    <row r="46" customFormat="false" ht="18" hidden="false" customHeight="true" outlineLevel="0" collapsed="false">
      <c r="A46" s="60" t="s">
        <v>53</v>
      </c>
      <c r="B46" s="60"/>
      <c r="C46" s="60"/>
      <c r="D46" s="60"/>
      <c r="E46" s="60"/>
      <c r="F46" s="60"/>
      <c r="G46" s="60"/>
      <c r="H46" s="60"/>
      <c r="I46" s="61"/>
    </row>
    <row r="47" customFormat="false" ht="15.75" hidden="false" customHeight="false" outlineLevel="0" collapsed="false">
      <c r="A47" s="73" t="s">
        <v>54</v>
      </c>
      <c r="B47" s="73"/>
      <c r="C47" s="73"/>
      <c r="D47" s="73"/>
      <c r="E47" s="73"/>
      <c r="F47" s="73"/>
      <c r="G47" s="73"/>
      <c r="H47" s="73"/>
      <c r="I47" s="73"/>
    </row>
    <row r="48" customFormat="false" ht="15.75" hidden="false" customHeight="false" outlineLevel="0" collapsed="false">
      <c r="A48" s="47" t="s">
        <v>55</v>
      </c>
      <c r="B48" s="47"/>
      <c r="C48" s="47"/>
      <c r="D48" s="47"/>
      <c r="E48" s="47"/>
      <c r="F48" s="47"/>
      <c r="G48" s="47"/>
      <c r="H48" s="47"/>
      <c r="I48" s="47"/>
    </row>
    <row r="49" customFormat="false" ht="15.75" hidden="false" customHeight="false" outlineLevel="0" collapsed="false">
      <c r="A49" s="62" t="n">
        <v>3</v>
      </c>
      <c r="B49" s="63" t="s">
        <v>56</v>
      </c>
      <c r="C49" s="63"/>
      <c r="D49" s="63"/>
      <c r="E49" s="63"/>
      <c r="F49" s="63"/>
      <c r="G49" s="63"/>
      <c r="H49" s="63"/>
      <c r="I49" s="50" t="s">
        <v>35</v>
      </c>
    </row>
    <row r="50" customFormat="false" ht="15.75" hidden="false" customHeight="false" outlineLevel="0" collapsed="false">
      <c r="A50" s="64" t="s">
        <v>8</v>
      </c>
      <c r="B50" s="74" t="s">
        <v>57</v>
      </c>
      <c r="C50" s="74"/>
      <c r="D50" s="74"/>
      <c r="E50" s="74"/>
      <c r="F50" s="74"/>
      <c r="G50" s="74"/>
      <c r="H50" s="74"/>
      <c r="I50" s="75"/>
      <c r="J50" s="76"/>
      <c r="K50" s="77"/>
    </row>
    <row r="51" customFormat="false" ht="15.75" hidden="false" customHeight="false" outlineLevel="0" collapsed="false">
      <c r="A51" s="60" t="s">
        <v>58</v>
      </c>
      <c r="B51" s="60"/>
      <c r="C51" s="60"/>
      <c r="D51" s="60"/>
      <c r="E51" s="60"/>
      <c r="F51" s="60"/>
      <c r="G51" s="60"/>
      <c r="H51" s="60"/>
      <c r="I51" s="78"/>
    </row>
    <row r="52" customFormat="false" ht="15.75" hidden="false" customHeight="false" outlineLevel="0" collapsed="false">
      <c r="A52" s="47" t="s">
        <v>59</v>
      </c>
      <c r="B52" s="47"/>
      <c r="C52" s="47"/>
      <c r="D52" s="47"/>
      <c r="E52" s="47"/>
      <c r="F52" s="47"/>
      <c r="G52" s="47"/>
      <c r="H52" s="47"/>
      <c r="I52" s="47"/>
    </row>
    <row r="53" customFormat="false" ht="15.75" hidden="false" customHeight="false" outlineLevel="0" collapsed="false">
      <c r="A53" s="79" t="s">
        <v>60</v>
      </c>
      <c r="B53" s="79"/>
      <c r="C53" s="79"/>
      <c r="D53" s="79"/>
      <c r="E53" s="79"/>
      <c r="F53" s="79"/>
      <c r="G53" s="79"/>
      <c r="H53" s="79"/>
      <c r="I53" s="79"/>
    </row>
    <row r="54" customFormat="false" ht="15.75" hidden="false" customHeight="false" outlineLevel="0" collapsed="false">
      <c r="A54" s="62" t="s">
        <v>61</v>
      </c>
      <c r="B54" s="80" t="s">
        <v>62</v>
      </c>
      <c r="C54" s="80"/>
      <c r="D54" s="80"/>
      <c r="E54" s="80"/>
      <c r="F54" s="80"/>
      <c r="G54" s="80"/>
      <c r="H54" s="81" t="s">
        <v>63</v>
      </c>
      <c r="I54" s="50" t="s">
        <v>35</v>
      </c>
    </row>
    <row r="55" customFormat="false" ht="15.75" hidden="false" customHeight="false" outlineLevel="0" collapsed="false">
      <c r="A55" s="82" t="s">
        <v>8</v>
      </c>
      <c r="B55" s="83" t="s">
        <v>64</v>
      </c>
      <c r="C55" s="83"/>
      <c r="D55" s="83"/>
      <c r="E55" s="83"/>
      <c r="F55" s="83"/>
      <c r="G55" s="83"/>
      <c r="H55" s="84" t="n">
        <v>0.2</v>
      </c>
      <c r="I55" s="53"/>
      <c r="K55" s="66"/>
    </row>
    <row r="56" customFormat="false" ht="15.75" hidden="false" customHeight="false" outlineLevel="0" collapsed="false">
      <c r="A56" s="82" t="s">
        <v>10</v>
      </c>
      <c r="B56" s="83" t="s">
        <v>65</v>
      </c>
      <c r="C56" s="83"/>
      <c r="D56" s="83"/>
      <c r="E56" s="83"/>
      <c r="F56" s="83"/>
      <c r="G56" s="83"/>
      <c r="H56" s="85" t="n">
        <v>0.015</v>
      </c>
      <c r="I56" s="53"/>
      <c r="K56" s="66"/>
    </row>
    <row r="57" customFormat="false" ht="15.75" hidden="false" customHeight="false" outlineLevel="0" collapsed="false">
      <c r="A57" s="82" t="s">
        <v>12</v>
      </c>
      <c r="B57" s="83" t="s">
        <v>66</v>
      </c>
      <c r="C57" s="83"/>
      <c r="D57" s="83"/>
      <c r="E57" s="83"/>
      <c r="F57" s="83"/>
      <c r="G57" s="83"/>
      <c r="H57" s="84" t="n">
        <v>0.01</v>
      </c>
      <c r="I57" s="53"/>
      <c r="K57" s="66"/>
    </row>
    <row r="58" customFormat="false" ht="15.75" hidden="false" customHeight="false" outlineLevel="0" collapsed="false">
      <c r="A58" s="82" t="s">
        <v>14</v>
      </c>
      <c r="B58" s="83" t="s">
        <v>67</v>
      </c>
      <c r="C58" s="83"/>
      <c r="D58" s="83"/>
      <c r="E58" s="83"/>
      <c r="F58" s="83"/>
      <c r="G58" s="83"/>
      <c r="H58" s="86" t="n">
        <v>0.002</v>
      </c>
      <c r="I58" s="53"/>
      <c r="K58" s="66"/>
    </row>
    <row r="59" customFormat="false" ht="15.75" hidden="false" customHeight="false" outlineLevel="0" collapsed="false">
      <c r="A59" s="82" t="s">
        <v>40</v>
      </c>
      <c r="B59" s="83" t="s">
        <v>68</v>
      </c>
      <c r="C59" s="83"/>
      <c r="D59" s="83"/>
      <c r="E59" s="83"/>
      <c r="F59" s="83"/>
      <c r="G59" s="83"/>
      <c r="H59" s="86" t="n">
        <v>0.025</v>
      </c>
      <c r="I59" s="53"/>
      <c r="K59" s="66"/>
    </row>
    <row r="60" customFormat="false" ht="15.75" hidden="false" customHeight="false" outlineLevel="0" collapsed="false">
      <c r="A60" s="82" t="s">
        <v>42</v>
      </c>
      <c r="B60" s="83" t="s">
        <v>69</v>
      </c>
      <c r="C60" s="83"/>
      <c r="D60" s="83"/>
      <c r="E60" s="83"/>
      <c r="F60" s="83"/>
      <c r="G60" s="83"/>
      <c r="H60" s="84" t="n">
        <v>0.08</v>
      </c>
      <c r="I60" s="53"/>
      <c r="K60" s="66"/>
    </row>
    <row r="61" customFormat="false" ht="15.75" hidden="false" customHeight="false" outlineLevel="0" collapsed="false">
      <c r="A61" s="82" t="s">
        <v>70</v>
      </c>
      <c r="B61" s="87" t="s">
        <v>71</v>
      </c>
      <c r="C61" s="87"/>
      <c r="D61" s="87"/>
      <c r="E61" s="87"/>
      <c r="F61" s="88" t="s">
        <v>72</v>
      </c>
      <c r="G61" s="89" t="s">
        <v>73</v>
      </c>
      <c r="H61" s="84" t="n">
        <v>0.03</v>
      </c>
      <c r="I61" s="53"/>
      <c r="K61" s="66"/>
    </row>
    <row r="62" customFormat="false" ht="15.75" hidden="false" customHeight="false" outlineLevel="0" collapsed="false">
      <c r="A62" s="82" t="s">
        <v>74</v>
      </c>
      <c r="B62" s="83" t="s">
        <v>75</v>
      </c>
      <c r="C62" s="83"/>
      <c r="D62" s="83"/>
      <c r="E62" s="83"/>
      <c r="F62" s="83"/>
      <c r="G62" s="83"/>
      <c r="H62" s="86" t="n">
        <v>0.006</v>
      </c>
      <c r="I62" s="53"/>
      <c r="K62" s="66"/>
    </row>
    <row r="63" customFormat="false" ht="15.75" hidden="false" customHeight="false" outlineLevel="0" collapsed="false">
      <c r="A63" s="90" t="s">
        <v>76</v>
      </c>
      <c r="B63" s="90"/>
      <c r="C63" s="90"/>
      <c r="D63" s="90"/>
      <c r="E63" s="90"/>
      <c r="F63" s="90"/>
      <c r="G63" s="90"/>
      <c r="H63" s="91" t="n">
        <f aca="false">SUM(H55:H62)</f>
        <v>0.368</v>
      </c>
      <c r="I63" s="92"/>
      <c r="K63" s="66"/>
    </row>
    <row r="64" customFormat="false" ht="15.75" hidden="false" customHeight="false" outlineLevel="0" collapsed="false">
      <c r="A64" s="93" t="s">
        <v>77</v>
      </c>
      <c r="B64" s="93"/>
      <c r="C64" s="93"/>
      <c r="D64" s="93"/>
      <c r="E64" s="93"/>
      <c r="F64" s="93"/>
      <c r="G64" s="93"/>
      <c r="H64" s="93"/>
      <c r="I64" s="93"/>
    </row>
    <row r="65" customFormat="false" ht="15.75" hidden="false" customHeight="false" outlineLevel="0" collapsed="false">
      <c r="A65" s="94" t="s">
        <v>78</v>
      </c>
      <c r="B65" s="94"/>
      <c r="C65" s="94"/>
      <c r="D65" s="94"/>
      <c r="E65" s="94"/>
      <c r="F65" s="94"/>
      <c r="G65" s="94"/>
      <c r="H65" s="94"/>
      <c r="I65" s="94"/>
    </row>
    <row r="66" customFormat="false" ht="15.75" hidden="false" customHeight="false" outlineLevel="0" collapsed="false">
      <c r="A66" s="79" t="s">
        <v>79</v>
      </c>
      <c r="B66" s="79"/>
      <c r="C66" s="79"/>
      <c r="D66" s="79"/>
      <c r="E66" s="79"/>
      <c r="F66" s="79"/>
      <c r="G66" s="79"/>
      <c r="H66" s="79"/>
      <c r="I66" s="79"/>
    </row>
    <row r="67" customFormat="false" ht="15.75" hidden="false" customHeight="false" outlineLevel="0" collapsed="false">
      <c r="A67" s="62" t="s">
        <v>80</v>
      </c>
      <c r="B67" s="81" t="s">
        <v>81</v>
      </c>
      <c r="C67" s="81"/>
      <c r="D67" s="81"/>
      <c r="E67" s="81"/>
      <c r="F67" s="81"/>
      <c r="G67" s="81"/>
      <c r="H67" s="81"/>
      <c r="I67" s="50" t="s">
        <v>35</v>
      </c>
    </row>
    <row r="68" customFormat="false" ht="33.75" hidden="false" customHeight="true" outlineLevel="0" collapsed="false">
      <c r="A68" s="17" t="s">
        <v>8</v>
      </c>
      <c r="B68" s="95" t="s">
        <v>82</v>
      </c>
      <c r="C68" s="95"/>
      <c r="D68" s="95"/>
      <c r="E68" s="95"/>
      <c r="F68" s="95"/>
      <c r="G68" s="95"/>
      <c r="H68" s="95"/>
      <c r="I68" s="96"/>
      <c r="K68" s="66"/>
    </row>
    <row r="69" customFormat="false" ht="15.75" hidden="false" customHeight="false" outlineLevel="0" collapsed="false">
      <c r="A69" s="97" t="s">
        <v>83</v>
      </c>
      <c r="B69" s="97"/>
      <c r="C69" s="97"/>
      <c r="D69" s="97"/>
      <c r="E69" s="97"/>
      <c r="F69" s="97"/>
      <c r="G69" s="97"/>
      <c r="H69" s="97"/>
      <c r="I69" s="53"/>
      <c r="K69" s="66"/>
    </row>
    <row r="70" customFormat="false" ht="15.75" hidden="false" customHeight="false" outlineLevel="0" collapsed="false">
      <c r="A70" s="17" t="s">
        <v>10</v>
      </c>
      <c r="B70" s="83" t="s">
        <v>84</v>
      </c>
      <c r="C70" s="83"/>
      <c r="D70" s="83"/>
      <c r="E70" s="83"/>
      <c r="F70" s="83"/>
      <c r="G70" s="83"/>
      <c r="H70" s="83"/>
      <c r="I70" s="53"/>
      <c r="K70" s="66"/>
    </row>
    <row r="71" customFormat="false" ht="15.75" hidden="false" customHeight="false" outlineLevel="0" collapsed="false">
      <c r="A71" s="60" t="s">
        <v>76</v>
      </c>
      <c r="B71" s="60"/>
      <c r="C71" s="60"/>
      <c r="D71" s="60"/>
      <c r="E71" s="60"/>
      <c r="F71" s="60"/>
      <c r="G71" s="60"/>
      <c r="H71" s="60"/>
      <c r="I71" s="98"/>
      <c r="K71" s="66"/>
    </row>
    <row r="72" customFormat="false" ht="15.75" hidden="false" customHeight="false" outlineLevel="0" collapsed="false">
      <c r="A72" s="79" t="s">
        <v>85</v>
      </c>
      <c r="B72" s="79"/>
      <c r="C72" s="79"/>
      <c r="D72" s="79"/>
      <c r="E72" s="79"/>
      <c r="F72" s="79"/>
      <c r="G72" s="79"/>
      <c r="H72" s="79"/>
      <c r="I72" s="79"/>
    </row>
    <row r="73" customFormat="false" ht="15.75" hidden="false" customHeight="false" outlineLevel="0" collapsed="false">
      <c r="A73" s="62" t="s">
        <v>86</v>
      </c>
      <c r="B73" s="81" t="s">
        <v>87</v>
      </c>
      <c r="C73" s="81"/>
      <c r="D73" s="81"/>
      <c r="E73" s="81"/>
      <c r="F73" s="81"/>
      <c r="G73" s="81"/>
      <c r="H73" s="81"/>
      <c r="I73" s="50" t="s">
        <v>35</v>
      </c>
    </row>
    <row r="74" customFormat="false" ht="15.75" hidden="false" customHeight="false" outlineLevel="0" collapsed="false">
      <c r="A74" s="17" t="s">
        <v>8</v>
      </c>
      <c r="B74" s="52" t="s">
        <v>88</v>
      </c>
      <c r="C74" s="52"/>
      <c r="D74" s="52"/>
      <c r="E74" s="52"/>
      <c r="F74" s="52"/>
      <c r="G74" s="52"/>
      <c r="H74" s="52"/>
      <c r="I74" s="75"/>
    </row>
    <row r="75" customFormat="false" ht="15.75" hidden="false" customHeight="false" outlineLevel="0" collapsed="false">
      <c r="A75" s="17" t="s">
        <v>10</v>
      </c>
      <c r="B75" s="83" t="s">
        <v>89</v>
      </c>
      <c r="C75" s="83"/>
      <c r="D75" s="83"/>
      <c r="E75" s="83"/>
      <c r="F75" s="83"/>
      <c r="G75" s="83"/>
      <c r="H75" s="83"/>
      <c r="I75" s="75"/>
    </row>
    <row r="76" customFormat="false" ht="15.75" hidden="false" customHeight="false" outlineLevel="0" collapsed="false">
      <c r="A76" s="60" t="s">
        <v>76</v>
      </c>
      <c r="B76" s="60"/>
      <c r="C76" s="60"/>
      <c r="D76" s="60"/>
      <c r="E76" s="60"/>
      <c r="F76" s="60"/>
      <c r="G76" s="60"/>
      <c r="H76" s="60"/>
      <c r="I76" s="98"/>
    </row>
    <row r="77" customFormat="false" ht="15.75" hidden="false" customHeight="false" outlineLevel="0" collapsed="false">
      <c r="A77" s="79" t="s">
        <v>90</v>
      </c>
      <c r="B77" s="79"/>
      <c r="C77" s="79"/>
      <c r="D77" s="79"/>
      <c r="E77" s="79"/>
      <c r="F77" s="79"/>
      <c r="G77" s="79"/>
      <c r="H77" s="79"/>
      <c r="I77" s="79"/>
    </row>
    <row r="78" customFormat="false" ht="15.75" hidden="false" customHeight="false" outlineLevel="0" collapsed="false">
      <c r="A78" s="62" t="s">
        <v>91</v>
      </c>
      <c r="B78" s="81" t="s">
        <v>92</v>
      </c>
      <c r="C78" s="81"/>
      <c r="D78" s="81"/>
      <c r="E78" s="81"/>
      <c r="F78" s="81"/>
      <c r="G78" s="81"/>
      <c r="H78" s="81"/>
      <c r="I78" s="50" t="s">
        <v>35</v>
      </c>
    </row>
    <row r="79" customFormat="false" ht="28.5" hidden="false" customHeight="true" outlineLevel="0" collapsed="false">
      <c r="A79" s="17" t="s">
        <v>8</v>
      </c>
      <c r="B79" s="99" t="s">
        <v>93</v>
      </c>
      <c r="C79" s="99"/>
      <c r="D79" s="99"/>
      <c r="E79" s="99"/>
      <c r="F79" s="99"/>
      <c r="G79" s="99"/>
      <c r="H79" s="99"/>
      <c r="I79" s="53"/>
    </row>
    <row r="80" customFormat="false" ht="15.75" hidden="false" customHeight="true" outlineLevel="0" collapsed="false">
      <c r="A80" s="17" t="s">
        <v>10</v>
      </c>
      <c r="B80" s="83" t="s">
        <v>94</v>
      </c>
      <c r="C80" s="83"/>
      <c r="D80" s="83"/>
      <c r="E80" s="83"/>
      <c r="F80" s="83"/>
      <c r="G80" s="83"/>
      <c r="H80" s="83"/>
      <c r="I80" s="53"/>
    </row>
    <row r="81" customFormat="false" ht="49.5" hidden="false" customHeight="true" outlineLevel="0" collapsed="false">
      <c r="A81" s="17" t="s">
        <v>12</v>
      </c>
      <c r="B81" s="95" t="s">
        <v>95</v>
      </c>
      <c r="C81" s="95"/>
      <c r="D81" s="95"/>
      <c r="E81" s="95"/>
      <c r="F81" s="95"/>
      <c r="G81" s="95"/>
      <c r="H81" s="95"/>
      <c r="I81" s="96"/>
      <c r="K81" s="66"/>
    </row>
    <row r="82" customFormat="false" ht="30.75" hidden="false" customHeight="true" outlineLevel="0" collapsed="false">
      <c r="A82" s="100" t="s">
        <v>14</v>
      </c>
      <c r="B82" s="99" t="s">
        <v>96</v>
      </c>
      <c r="C82" s="99"/>
      <c r="D82" s="99"/>
      <c r="E82" s="99"/>
      <c r="F82" s="99"/>
      <c r="G82" s="99"/>
      <c r="H82" s="99"/>
      <c r="I82" s="53"/>
      <c r="N82" s="101"/>
    </row>
    <row r="83" customFormat="false" ht="18" hidden="false" customHeight="true" outlineLevel="0" collapsed="false">
      <c r="A83" s="17" t="s">
        <v>40</v>
      </c>
      <c r="B83" s="83" t="s">
        <v>97</v>
      </c>
      <c r="C83" s="83"/>
      <c r="D83" s="83"/>
      <c r="E83" s="83"/>
      <c r="F83" s="83"/>
      <c r="G83" s="83"/>
      <c r="H83" s="83"/>
      <c r="I83" s="53"/>
      <c r="J83" s="13"/>
      <c r="K83" s="13"/>
      <c r="L83" s="102"/>
    </row>
    <row r="84" customFormat="false" ht="48.75" hidden="false" customHeight="true" outlineLevel="0" collapsed="false">
      <c r="A84" s="17" t="s">
        <v>42</v>
      </c>
      <c r="B84" s="95" t="s">
        <v>98</v>
      </c>
      <c r="C84" s="95"/>
      <c r="D84" s="95"/>
      <c r="E84" s="95"/>
      <c r="F84" s="95"/>
      <c r="G84" s="95"/>
      <c r="H84" s="95"/>
      <c r="I84" s="96"/>
      <c r="J84" s="13"/>
      <c r="K84" s="66"/>
      <c r="L84" s="13"/>
    </row>
    <row r="85" customFormat="false" ht="20.25" hidden="false" customHeight="true" outlineLevel="0" collapsed="false">
      <c r="A85" s="60" t="s">
        <v>76</v>
      </c>
      <c r="B85" s="60"/>
      <c r="C85" s="60"/>
      <c r="D85" s="60"/>
      <c r="E85" s="60"/>
      <c r="F85" s="60"/>
      <c r="G85" s="60"/>
      <c r="H85" s="60"/>
      <c r="I85" s="98"/>
    </row>
    <row r="86" customFormat="false" ht="20.25" hidden="false" customHeight="true" outlineLevel="0" collapsed="false">
      <c r="A86" s="79" t="s">
        <v>99</v>
      </c>
      <c r="B86" s="79"/>
      <c r="C86" s="79"/>
      <c r="D86" s="79"/>
      <c r="E86" s="79"/>
      <c r="F86" s="79"/>
      <c r="G86" s="79"/>
      <c r="H86" s="79"/>
      <c r="I86" s="79"/>
    </row>
    <row r="87" customFormat="false" ht="15.75" hidden="false" customHeight="false" outlineLevel="0" collapsed="false">
      <c r="A87" s="62" t="s">
        <v>100</v>
      </c>
      <c r="B87" s="81" t="s">
        <v>101</v>
      </c>
      <c r="C87" s="81"/>
      <c r="D87" s="81"/>
      <c r="E87" s="81"/>
      <c r="F87" s="81"/>
      <c r="G87" s="81"/>
      <c r="H87" s="81"/>
      <c r="I87" s="50" t="s">
        <v>35</v>
      </c>
    </row>
    <row r="88" customFormat="false" ht="49.5" hidden="false" customHeight="true" outlineLevel="0" collapsed="false">
      <c r="A88" s="17" t="s">
        <v>8</v>
      </c>
      <c r="B88" s="95" t="s">
        <v>102</v>
      </c>
      <c r="C88" s="95"/>
      <c r="D88" s="95"/>
      <c r="E88" s="95"/>
      <c r="F88" s="95"/>
      <c r="G88" s="95"/>
      <c r="H88" s="95"/>
      <c r="I88" s="96"/>
      <c r="K88" s="66"/>
    </row>
    <row r="89" customFormat="false" ht="17.25" hidden="false" customHeight="true" outlineLevel="0" collapsed="false">
      <c r="A89" s="17" t="s">
        <v>10</v>
      </c>
      <c r="B89" s="52" t="s">
        <v>103</v>
      </c>
      <c r="C89" s="52"/>
      <c r="D89" s="52"/>
      <c r="E89" s="52"/>
      <c r="F89" s="52"/>
      <c r="G89" s="52"/>
      <c r="H89" s="52"/>
      <c r="I89" s="53"/>
    </row>
    <row r="90" customFormat="false" ht="16.5" hidden="false" customHeight="true" outlineLevel="0" collapsed="false">
      <c r="A90" s="17" t="s">
        <v>12</v>
      </c>
      <c r="B90" s="52" t="s">
        <v>104</v>
      </c>
      <c r="C90" s="52"/>
      <c r="D90" s="52"/>
      <c r="E90" s="52"/>
      <c r="F90" s="52"/>
      <c r="G90" s="52"/>
      <c r="H90" s="52"/>
      <c r="I90" s="53"/>
    </row>
    <row r="91" customFormat="false" ht="17.25" hidden="false" customHeight="true" outlineLevel="0" collapsed="false">
      <c r="A91" s="17" t="s">
        <v>14</v>
      </c>
      <c r="B91" s="52" t="s">
        <v>105</v>
      </c>
      <c r="C91" s="52"/>
      <c r="D91" s="52"/>
      <c r="E91" s="52"/>
      <c r="F91" s="52"/>
      <c r="G91" s="52"/>
      <c r="H91" s="52"/>
      <c r="I91" s="53"/>
    </row>
    <row r="92" customFormat="false" ht="16.5" hidden="false" customHeight="true" outlineLevel="0" collapsed="false">
      <c r="A92" s="17" t="s">
        <v>40</v>
      </c>
      <c r="B92" s="52" t="s">
        <v>106</v>
      </c>
      <c r="C92" s="52"/>
      <c r="D92" s="52"/>
      <c r="E92" s="52"/>
      <c r="F92" s="52"/>
      <c r="G92" s="52"/>
      <c r="H92" s="52"/>
      <c r="I92" s="53"/>
    </row>
    <row r="93" customFormat="false" ht="18" hidden="false" customHeight="true" outlineLevel="0" collapsed="false">
      <c r="A93" s="97" t="s">
        <v>83</v>
      </c>
      <c r="B93" s="97"/>
      <c r="C93" s="97"/>
      <c r="D93" s="97"/>
      <c r="E93" s="97"/>
      <c r="F93" s="97"/>
      <c r="G93" s="97"/>
      <c r="H93" s="97"/>
      <c r="I93" s="72"/>
      <c r="K93" s="66"/>
    </row>
    <row r="94" customFormat="false" ht="19.5" hidden="false" customHeight="true" outlineLevel="0" collapsed="false">
      <c r="A94" s="17" t="s">
        <v>70</v>
      </c>
      <c r="B94" s="83" t="s">
        <v>107</v>
      </c>
      <c r="C94" s="83"/>
      <c r="D94" s="83"/>
      <c r="E94" s="83"/>
      <c r="F94" s="83"/>
      <c r="G94" s="83"/>
      <c r="H94" s="83"/>
      <c r="I94" s="103"/>
      <c r="K94" s="66"/>
    </row>
    <row r="95" customFormat="false" ht="18.75" hidden="false" customHeight="true" outlineLevel="0" collapsed="false">
      <c r="A95" s="60" t="s">
        <v>76</v>
      </c>
      <c r="B95" s="60"/>
      <c r="C95" s="60"/>
      <c r="D95" s="60"/>
      <c r="E95" s="60"/>
      <c r="F95" s="60"/>
      <c r="G95" s="60"/>
      <c r="H95" s="60"/>
      <c r="I95" s="61"/>
      <c r="K95" s="66"/>
    </row>
    <row r="96" customFormat="false" ht="15.75" hidden="false" customHeight="true" outlineLevel="0" collapsed="false">
      <c r="A96" s="104" t="s">
        <v>108</v>
      </c>
      <c r="B96" s="104"/>
      <c r="C96" s="104"/>
      <c r="D96" s="104"/>
      <c r="E96" s="104"/>
      <c r="F96" s="104"/>
      <c r="G96" s="104"/>
      <c r="H96" s="104"/>
      <c r="I96" s="104"/>
    </row>
    <row r="97" customFormat="false" ht="14.25" hidden="false" customHeight="true" outlineLevel="0" collapsed="false">
      <c r="A97" s="62" t="n">
        <v>4</v>
      </c>
      <c r="B97" s="81" t="s">
        <v>109</v>
      </c>
      <c r="C97" s="81"/>
      <c r="D97" s="81"/>
      <c r="E97" s="81"/>
      <c r="F97" s="81"/>
      <c r="G97" s="81"/>
      <c r="H97" s="81"/>
      <c r="I97" s="50" t="s">
        <v>35</v>
      </c>
    </row>
    <row r="98" customFormat="false" ht="15.75" hidden="false" customHeight="true" outlineLevel="0" collapsed="false">
      <c r="A98" s="17" t="s">
        <v>61</v>
      </c>
      <c r="B98" s="83" t="s">
        <v>62</v>
      </c>
      <c r="C98" s="83"/>
      <c r="D98" s="83"/>
      <c r="E98" s="83"/>
      <c r="F98" s="83"/>
      <c r="G98" s="83"/>
      <c r="H98" s="83"/>
      <c r="I98" s="105"/>
    </row>
    <row r="99" customFormat="false" ht="15" hidden="false" customHeight="true" outlineLevel="0" collapsed="false">
      <c r="A99" s="17" t="s">
        <v>80</v>
      </c>
      <c r="B99" s="83" t="s">
        <v>110</v>
      </c>
      <c r="C99" s="83"/>
      <c r="D99" s="83"/>
      <c r="E99" s="83"/>
      <c r="F99" s="83"/>
      <c r="G99" s="83"/>
      <c r="H99" s="83"/>
      <c r="I99" s="105"/>
    </row>
    <row r="100" customFormat="false" ht="18.75" hidden="false" customHeight="true" outlineLevel="0" collapsed="false">
      <c r="A100" s="17" t="s">
        <v>86</v>
      </c>
      <c r="B100" s="83" t="s">
        <v>87</v>
      </c>
      <c r="C100" s="83"/>
      <c r="D100" s="83"/>
      <c r="E100" s="83"/>
      <c r="F100" s="83"/>
      <c r="G100" s="83"/>
      <c r="H100" s="83"/>
      <c r="I100" s="105"/>
    </row>
    <row r="101" customFormat="false" ht="15.75" hidden="false" customHeight="true" outlineLevel="0" collapsed="false">
      <c r="A101" s="17" t="s">
        <v>91</v>
      </c>
      <c r="B101" s="83" t="s">
        <v>111</v>
      </c>
      <c r="C101" s="83"/>
      <c r="D101" s="83"/>
      <c r="E101" s="83"/>
      <c r="F101" s="83"/>
      <c r="G101" s="83"/>
      <c r="H101" s="83"/>
      <c r="I101" s="105"/>
    </row>
    <row r="102" customFormat="false" ht="15.75" hidden="false" customHeight="true" outlineLevel="0" collapsed="false">
      <c r="A102" s="17" t="s">
        <v>100</v>
      </c>
      <c r="B102" s="83" t="s">
        <v>112</v>
      </c>
      <c r="C102" s="83"/>
      <c r="D102" s="83"/>
      <c r="E102" s="83"/>
      <c r="F102" s="83"/>
      <c r="G102" s="83"/>
      <c r="H102" s="83"/>
      <c r="I102" s="105"/>
    </row>
    <row r="103" customFormat="false" ht="18.75" hidden="false" customHeight="true" outlineLevel="0" collapsed="false">
      <c r="A103" s="60" t="s">
        <v>76</v>
      </c>
      <c r="B103" s="60"/>
      <c r="C103" s="60"/>
      <c r="D103" s="60"/>
      <c r="E103" s="60"/>
      <c r="F103" s="60"/>
      <c r="G103" s="60"/>
      <c r="H103" s="60"/>
      <c r="I103" s="98"/>
      <c r="K103" s="106"/>
    </row>
    <row r="104" customFormat="false" ht="25.5" hidden="false" customHeight="true" outlineLevel="0" collapsed="false">
      <c r="A104" s="107" t="s">
        <v>113</v>
      </c>
      <c r="B104" s="107"/>
      <c r="C104" s="107"/>
      <c r="D104" s="107"/>
      <c r="E104" s="107"/>
      <c r="F104" s="107"/>
      <c r="G104" s="107"/>
      <c r="H104" s="107"/>
      <c r="I104" s="107"/>
    </row>
    <row r="105" customFormat="false" ht="23.25" hidden="false" customHeight="true" outlineLevel="0" collapsed="false">
      <c r="A105" s="62" t="n">
        <v>5</v>
      </c>
      <c r="B105" s="63" t="s">
        <v>114</v>
      </c>
      <c r="C105" s="63"/>
      <c r="D105" s="63"/>
      <c r="E105" s="63"/>
      <c r="F105" s="63"/>
      <c r="G105" s="63"/>
      <c r="H105" s="108" t="s">
        <v>63</v>
      </c>
      <c r="I105" s="50" t="s">
        <v>35</v>
      </c>
    </row>
    <row r="106" customFormat="false" ht="51" hidden="false" customHeight="true" outlineLevel="0" collapsed="false">
      <c r="A106" s="109" t="s">
        <v>115</v>
      </c>
      <c r="B106" s="109"/>
      <c r="C106" s="109"/>
      <c r="D106" s="109"/>
      <c r="E106" s="109"/>
      <c r="F106" s="109"/>
      <c r="G106" s="109"/>
      <c r="H106" s="110"/>
      <c r="I106" s="111"/>
    </row>
    <row r="107" customFormat="false" ht="19.5" hidden="false" customHeight="true" outlineLevel="0" collapsed="false">
      <c r="A107" s="17" t="s">
        <v>8</v>
      </c>
      <c r="B107" s="83" t="s">
        <v>116</v>
      </c>
      <c r="C107" s="83"/>
      <c r="D107" s="83"/>
      <c r="E107" s="83"/>
      <c r="F107" s="83"/>
      <c r="G107" s="83"/>
      <c r="H107" s="112"/>
      <c r="I107" s="53"/>
      <c r="J107" s="113"/>
    </row>
    <row r="108" customFormat="false" ht="44.25" hidden="false" customHeight="true" outlineLevel="0" collapsed="false">
      <c r="A108" s="109" t="s">
        <v>117</v>
      </c>
      <c r="B108" s="109"/>
      <c r="C108" s="109"/>
      <c r="D108" s="109"/>
      <c r="E108" s="109"/>
      <c r="F108" s="109"/>
      <c r="G108" s="109"/>
      <c r="H108" s="114"/>
      <c r="I108" s="115"/>
      <c r="J108" s="113"/>
    </row>
    <row r="109" customFormat="false" ht="20.25" hidden="false" customHeight="true" outlineLevel="0" collapsed="false">
      <c r="A109" s="17" t="s">
        <v>10</v>
      </c>
      <c r="B109" s="83" t="s">
        <v>118</v>
      </c>
      <c r="C109" s="83"/>
      <c r="D109" s="83"/>
      <c r="E109" s="83"/>
      <c r="F109" s="83"/>
      <c r="G109" s="83"/>
      <c r="H109" s="112"/>
      <c r="I109" s="53"/>
      <c r="J109" s="116"/>
    </row>
    <row r="110" customFormat="false" ht="49.5" hidden="false" customHeight="true" outlineLevel="0" collapsed="false">
      <c r="A110" s="109" t="s">
        <v>119</v>
      </c>
      <c r="B110" s="109"/>
      <c r="C110" s="109"/>
      <c r="D110" s="109"/>
      <c r="E110" s="109"/>
      <c r="F110" s="109"/>
      <c r="G110" s="109"/>
      <c r="H110" s="117"/>
      <c r="I110" s="118"/>
      <c r="J110" s="116"/>
    </row>
    <row r="111" customFormat="false" ht="18.75" hidden="false" customHeight="true" outlineLevel="0" collapsed="false">
      <c r="A111" s="17" t="s">
        <v>12</v>
      </c>
      <c r="B111" s="83" t="s">
        <v>120</v>
      </c>
      <c r="C111" s="83"/>
      <c r="D111" s="83"/>
      <c r="E111" s="83"/>
      <c r="F111" s="83"/>
      <c r="G111" s="83"/>
      <c r="H111" s="119"/>
      <c r="I111" s="120"/>
      <c r="J111" s="116"/>
    </row>
    <row r="112" customFormat="false" ht="18" hidden="false" customHeight="true" outlineLevel="0" collapsed="false">
      <c r="A112" s="17"/>
      <c r="B112" s="83" t="s">
        <v>121</v>
      </c>
      <c r="C112" s="83"/>
      <c r="D112" s="83"/>
      <c r="E112" s="83"/>
      <c r="F112" s="83"/>
      <c r="G112" s="83"/>
      <c r="H112" s="119"/>
      <c r="I112" s="120"/>
    </row>
    <row r="113" customFormat="false" ht="33" hidden="false" customHeight="true" outlineLevel="0" collapsed="false">
      <c r="A113" s="17"/>
      <c r="B113" s="67" t="s">
        <v>122</v>
      </c>
      <c r="C113" s="67"/>
      <c r="D113" s="67"/>
      <c r="E113" s="67"/>
      <c r="F113" s="67"/>
      <c r="G113" s="67"/>
      <c r="H113" s="121"/>
      <c r="I113" s="53"/>
    </row>
    <row r="114" customFormat="false" ht="30.75" hidden="false" customHeight="true" outlineLevel="0" collapsed="false">
      <c r="A114" s="17"/>
      <c r="B114" s="67" t="s">
        <v>123</v>
      </c>
      <c r="C114" s="67"/>
      <c r="D114" s="67"/>
      <c r="E114" s="67"/>
      <c r="F114" s="67"/>
      <c r="G114" s="67"/>
      <c r="H114" s="121"/>
      <c r="I114" s="53"/>
      <c r="K114" s="66"/>
    </row>
    <row r="115" customFormat="false" ht="31.5" hidden="false" customHeight="true" outlineLevel="0" collapsed="false">
      <c r="A115" s="17"/>
      <c r="B115" s="122" t="s">
        <v>124</v>
      </c>
      <c r="C115" s="122"/>
      <c r="D115" s="122"/>
      <c r="E115" s="122"/>
      <c r="F115" s="122"/>
      <c r="G115" s="122"/>
      <c r="H115" s="121"/>
      <c r="I115" s="120"/>
      <c r="K115" s="66"/>
    </row>
    <row r="116" customFormat="false" ht="14.25" hidden="false" customHeight="true" outlineLevel="0" collapsed="false">
      <c r="A116" s="17"/>
      <c r="B116" s="83" t="s">
        <v>125</v>
      </c>
      <c r="C116" s="83"/>
      <c r="D116" s="83"/>
      <c r="E116" s="83"/>
      <c r="F116" s="83"/>
      <c r="G116" s="83"/>
      <c r="H116" s="119"/>
      <c r="I116" s="120"/>
    </row>
    <row r="117" customFormat="false" ht="15.75" hidden="false" customHeight="true" outlineLevel="0" collapsed="false">
      <c r="A117" s="17"/>
      <c r="B117" s="83" t="s">
        <v>126</v>
      </c>
      <c r="C117" s="83"/>
      <c r="D117" s="83"/>
      <c r="E117" s="83"/>
      <c r="F117" s="83"/>
      <c r="G117" s="83"/>
      <c r="H117" s="119"/>
      <c r="I117" s="120"/>
      <c r="K117" s="66"/>
    </row>
    <row r="118" customFormat="false" ht="15.75" hidden="false" customHeight="true" outlineLevel="0" collapsed="false">
      <c r="A118" s="17"/>
      <c r="B118" s="123" t="s">
        <v>127</v>
      </c>
      <c r="C118" s="123"/>
      <c r="D118" s="123"/>
      <c r="E118" s="123"/>
      <c r="F118" s="123"/>
      <c r="G118" s="123"/>
      <c r="H118" s="124"/>
      <c r="I118" s="53"/>
    </row>
    <row r="119" customFormat="false" ht="18" hidden="false" customHeight="true" outlineLevel="0" collapsed="false">
      <c r="A119" s="125" t="s">
        <v>76</v>
      </c>
      <c r="B119" s="125"/>
      <c r="C119" s="125"/>
      <c r="D119" s="125"/>
      <c r="E119" s="125"/>
      <c r="F119" s="125"/>
      <c r="G119" s="125"/>
      <c r="H119" s="125"/>
      <c r="I119" s="126"/>
    </row>
    <row r="120" customFormat="false" ht="18.75" hidden="false" customHeight="true" outlineLevel="0" collapsed="false">
      <c r="A120" s="127" t="s">
        <v>128</v>
      </c>
      <c r="B120" s="127"/>
      <c r="C120" s="127"/>
      <c r="D120" s="127"/>
      <c r="E120" s="127"/>
      <c r="F120" s="127"/>
      <c r="G120" s="127"/>
      <c r="H120" s="128"/>
      <c r="I120" s="129"/>
    </row>
    <row r="121" customFormat="false" ht="18" hidden="false" customHeight="true" outlineLevel="0" collapsed="false">
      <c r="A121" s="130" t="s">
        <v>129</v>
      </c>
      <c r="B121" s="130"/>
      <c r="C121" s="131" t="s">
        <v>130</v>
      </c>
      <c r="D121" s="131"/>
      <c r="E121" s="131"/>
      <c r="F121" s="131"/>
      <c r="G121" s="131"/>
      <c r="H121" s="131"/>
      <c r="I121" s="131"/>
    </row>
    <row r="122" customFormat="false" ht="18.75" hidden="false" customHeight="true" outlineLevel="0" collapsed="false">
      <c r="A122" s="130"/>
      <c r="B122" s="130"/>
      <c r="C122" s="132" t="s">
        <v>131</v>
      </c>
      <c r="D122" s="132"/>
      <c r="E122" s="132"/>
      <c r="F122" s="132"/>
      <c r="G122" s="132"/>
      <c r="H122" s="132"/>
      <c r="I122" s="132"/>
    </row>
    <row r="123" customFormat="false" ht="13.5" hidden="false" customHeight="true" outlineLevel="0" collapsed="false">
      <c r="A123" s="133" t="s">
        <v>132</v>
      </c>
      <c r="B123" s="133"/>
      <c r="C123" s="133"/>
      <c r="D123" s="133"/>
      <c r="E123" s="133"/>
      <c r="F123" s="133"/>
      <c r="G123" s="133"/>
      <c r="H123" s="133"/>
      <c r="I123" s="133"/>
    </row>
    <row r="124" customFormat="false" ht="18" hidden="false" customHeight="true" outlineLevel="0" collapsed="false">
      <c r="A124" s="94" t="s">
        <v>133</v>
      </c>
      <c r="B124" s="94"/>
      <c r="C124" s="94"/>
      <c r="D124" s="94"/>
      <c r="E124" s="94"/>
      <c r="F124" s="94"/>
      <c r="G124" s="94"/>
      <c r="H124" s="94"/>
      <c r="I124" s="94"/>
    </row>
    <row r="125" customFormat="false" ht="13.5" hidden="false" customHeight="true" outlineLevel="0" collapsed="false">
      <c r="A125" s="134"/>
      <c r="B125" s="134"/>
      <c r="C125" s="134"/>
      <c r="D125" s="134"/>
      <c r="E125" s="134"/>
      <c r="F125" s="134"/>
      <c r="G125" s="134"/>
      <c r="H125" s="134"/>
      <c r="I125" s="134"/>
    </row>
    <row r="126" customFormat="false" ht="17.25" hidden="false" customHeight="true" outlineLevel="0" collapsed="false">
      <c r="A126" s="33" t="s">
        <v>134</v>
      </c>
      <c r="B126" s="33"/>
      <c r="C126" s="33"/>
      <c r="D126" s="33"/>
      <c r="E126" s="33"/>
      <c r="F126" s="33"/>
      <c r="G126" s="33"/>
      <c r="H126" s="33"/>
      <c r="I126" s="33"/>
    </row>
    <row r="127" customFormat="false" ht="24" hidden="false" customHeight="true" outlineLevel="0" collapsed="false">
      <c r="A127" s="135" t="s">
        <v>135</v>
      </c>
      <c r="B127" s="135"/>
      <c r="C127" s="135"/>
      <c r="D127" s="135"/>
      <c r="E127" s="135"/>
      <c r="F127" s="135"/>
      <c r="G127" s="135"/>
      <c r="H127" s="135"/>
      <c r="I127" s="135"/>
    </row>
    <row r="128" customFormat="false" ht="30" hidden="false" customHeight="true" outlineLevel="0" collapsed="false">
      <c r="A128" s="136" t="s">
        <v>136</v>
      </c>
      <c r="B128" s="136"/>
      <c r="C128" s="136"/>
      <c r="D128" s="136"/>
      <c r="E128" s="136"/>
      <c r="F128" s="136"/>
      <c r="G128" s="136"/>
      <c r="H128" s="136"/>
      <c r="I128" s="137" t="s">
        <v>35</v>
      </c>
    </row>
    <row r="129" customFormat="false" ht="18" hidden="false" customHeight="true" outlineLevel="0" collapsed="false">
      <c r="A129" s="14" t="s">
        <v>8</v>
      </c>
      <c r="B129" s="15" t="s">
        <v>137</v>
      </c>
      <c r="C129" s="15"/>
      <c r="D129" s="15"/>
      <c r="E129" s="15"/>
      <c r="F129" s="15"/>
      <c r="G129" s="15"/>
      <c r="H129" s="15"/>
      <c r="I129" s="138"/>
    </row>
    <row r="130" customFormat="false" ht="15" hidden="false" customHeight="true" outlineLevel="0" collapsed="false">
      <c r="A130" s="14" t="s">
        <v>10</v>
      </c>
      <c r="B130" s="15" t="s">
        <v>138</v>
      </c>
      <c r="C130" s="15"/>
      <c r="D130" s="15"/>
      <c r="E130" s="15"/>
      <c r="F130" s="15"/>
      <c r="G130" s="15"/>
      <c r="H130" s="15"/>
      <c r="I130" s="138"/>
    </row>
    <row r="131" customFormat="false" ht="15.75" hidden="false" customHeight="false" outlineLevel="0" collapsed="false">
      <c r="A131" s="14" t="s">
        <v>12</v>
      </c>
      <c r="B131" s="15" t="s">
        <v>139</v>
      </c>
      <c r="C131" s="15"/>
      <c r="D131" s="15"/>
      <c r="E131" s="15"/>
      <c r="F131" s="15"/>
      <c r="G131" s="15"/>
      <c r="H131" s="15"/>
      <c r="I131" s="139"/>
    </row>
    <row r="132" customFormat="false" ht="17.25" hidden="false" customHeight="true" outlineLevel="0" collapsed="false">
      <c r="A132" s="14" t="s">
        <v>14</v>
      </c>
      <c r="B132" s="15" t="s">
        <v>109</v>
      </c>
      <c r="C132" s="15"/>
      <c r="D132" s="15"/>
      <c r="E132" s="15"/>
      <c r="F132" s="15"/>
      <c r="G132" s="15"/>
      <c r="H132" s="15"/>
      <c r="I132" s="138"/>
    </row>
    <row r="133" customFormat="false" ht="15.75" hidden="false" customHeight="false" outlineLevel="0" collapsed="false">
      <c r="A133" s="140" t="s">
        <v>140</v>
      </c>
      <c r="B133" s="140"/>
      <c r="C133" s="140"/>
      <c r="D133" s="140"/>
      <c r="E133" s="140"/>
      <c r="F133" s="140"/>
      <c r="G133" s="140"/>
      <c r="H133" s="140"/>
      <c r="I133" s="141"/>
    </row>
    <row r="134" customFormat="false" ht="15.75" hidden="false" customHeight="false" outlineLevel="0" collapsed="false">
      <c r="A134" s="14" t="s">
        <v>40</v>
      </c>
      <c r="B134" s="15" t="s">
        <v>141</v>
      </c>
      <c r="C134" s="15"/>
      <c r="D134" s="15"/>
      <c r="E134" s="15"/>
      <c r="F134" s="15"/>
      <c r="G134" s="15"/>
      <c r="H134" s="15"/>
      <c r="I134" s="142"/>
    </row>
    <row r="135" customFormat="false" ht="15.75" hidden="false" customHeight="false" outlineLevel="0" collapsed="false">
      <c r="A135" s="143" t="s">
        <v>142</v>
      </c>
      <c r="B135" s="143"/>
      <c r="C135" s="143"/>
      <c r="D135" s="143"/>
      <c r="E135" s="143"/>
      <c r="F135" s="143"/>
      <c r="G135" s="143"/>
      <c r="H135" s="143"/>
      <c r="I135" s="144"/>
    </row>
    <row r="136" customFormat="false" ht="15.75" hidden="false" customHeight="false" outlineLevel="0" collapsed="false">
      <c r="A136" s="145"/>
      <c r="B136" s="145"/>
      <c r="C136" s="145"/>
      <c r="D136" s="145"/>
      <c r="E136" s="145"/>
      <c r="F136" s="145"/>
      <c r="G136" s="145"/>
      <c r="H136" s="145"/>
      <c r="I136" s="145"/>
    </row>
    <row r="137" customFormat="false" ht="15.75" hidden="false" customHeight="false" outlineLevel="0" collapsed="false">
      <c r="A137" s="33" t="s">
        <v>143</v>
      </c>
      <c r="B137" s="33"/>
      <c r="C137" s="33"/>
      <c r="D137" s="33"/>
      <c r="E137" s="33"/>
      <c r="F137" s="33"/>
      <c r="G137" s="33"/>
      <c r="H137" s="33"/>
      <c r="I137" s="33"/>
    </row>
    <row r="138" customFormat="false" ht="15.75" hidden="false" customHeight="false" outlineLevel="0" collapsed="false">
      <c r="A138" s="146" t="s">
        <v>144</v>
      </c>
      <c r="B138" s="146"/>
      <c r="C138" s="146"/>
      <c r="D138" s="146"/>
      <c r="E138" s="146"/>
      <c r="F138" s="146"/>
      <c r="G138" s="146"/>
      <c r="H138" s="146"/>
      <c r="I138" s="146"/>
    </row>
    <row r="139" customFormat="false" ht="47.25" hidden="false" customHeight="true" outlineLevel="0" collapsed="false">
      <c r="A139" s="147" t="s">
        <v>145</v>
      </c>
      <c r="B139" s="147"/>
      <c r="C139" s="148" t="s">
        <v>146</v>
      </c>
      <c r="D139" s="148"/>
      <c r="E139" s="149" t="s">
        <v>147</v>
      </c>
      <c r="F139" s="148" t="s">
        <v>148</v>
      </c>
      <c r="G139" s="148"/>
      <c r="H139" s="148" t="s">
        <v>149</v>
      </c>
      <c r="I139" s="150" t="s">
        <v>150</v>
      </c>
    </row>
    <row r="140" customFormat="false" ht="26.25" hidden="false" customHeight="true" outlineLevel="0" collapsed="false">
      <c r="A140" s="151" t="s">
        <v>26</v>
      </c>
      <c r="B140" s="151"/>
      <c r="C140" s="152"/>
      <c r="D140" s="152"/>
      <c r="E140" s="153"/>
      <c r="F140" s="154"/>
      <c r="G140" s="154"/>
      <c r="H140" s="155"/>
      <c r="I140" s="156"/>
    </row>
    <row r="141" customFormat="false" ht="15.75" hidden="false" customHeight="false" outlineLevel="0" collapsed="false">
      <c r="A141" s="145"/>
      <c r="B141" s="145"/>
      <c r="C141" s="145"/>
      <c r="D141" s="145"/>
      <c r="E141" s="145"/>
      <c r="F141" s="145"/>
      <c r="G141" s="145"/>
      <c r="H141" s="145"/>
      <c r="I141" s="145"/>
    </row>
    <row r="142" customFormat="false" ht="15.75" hidden="false" customHeight="false" outlineLevel="0" collapsed="false">
      <c r="A142" s="33" t="s">
        <v>151</v>
      </c>
      <c r="B142" s="33"/>
      <c r="C142" s="33"/>
      <c r="D142" s="33"/>
      <c r="E142" s="33"/>
      <c r="F142" s="33"/>
      <c r="G142" s="33"/>
      <c r="H142" s="33"/>
      <c r="I142" s="33"/>
    </row>
    <row r="143" customFormat="false" ht="15.75" hidden="false" customHeight="false" outlineLevel="0" collapsed="false">
      <c r="A143" s="146" t="s">
        <v>152</v>
      </c>
      <c r="B143" s="146"/>
      <c r="C143" s="146"/>
      <c r="D143" s="146"/>
      <c r="E143" s="146"/>
      <c r="F143" s="146"/>
      <c r="G143" s="146"/>
      <c r="H143" s="146"/>
      <c r="I143" s="146"/>
    </row>
    <row r="144" customFormat="false" ht="15.75" hidden="false" customHeight="false" outlineLevel="0" collapsed="false">
      <c r="A144" s="157" t="s">
        <v>153</v>
      </c>
      <c r="B144" s="157"/>
      <c r="C144" s="157"/>
      <c r="D144" s="157"/>
      <c r="E144" s="157"/>
      <c r="F144" s="157"/>
      <c r="G144" s="157"/>
      <c r="H144" s="157"/>
      <c r="I144" s="157"/>
    </row>
    <row r="145" customFormat="false" ht="15.75" hidden="false" customHeight="false" outlineLevel="0" collapsed="false">
      <c r="A145" s="158" t="s">
        <v>8</v>
      </c>
      <c r="B145" s="15" t="s">
        <v>154</v>
      </c>
      <c r="C145" s="15"/>
      <c r="D145" s="15"/>
      <c r="E145" s="15"/>
      <c r="F145" s="15"/>
      <c r="G145" s="15"/>
      <c r="H145" s="15"/>
      <c r="I145" s="159"/>
    </row>
    <row r="146" customFormat="false" ht="15.75" hidden="false" customHeight="false" outlineLevel="0" collapsed="false">
      <c r="A146" s="158" t="s">
        <v>10</v>
      </c>
      <c r="B146" s="15" t="s">
        <v>155</v>
      </c>
      <c r="C146" s="15"/>
      <c r="D146" s="15"/>
      <c r="E146" s="15"/>
      <c r="F146" s="15"/>
      <c r="G146" s="15"/>
      <c r="H146" s="15"/>
      <c r="I146" s="160"/>
    </row>
    <row r="147" customFormat="false" ht="16.5" hidden="false" customHeight="true" outlineLevel="0" collapsed="false">
      <c r="A147" s="161" t="s">
        <v>12</v>
      </c>
      <c r="B147" s="162" t="s">
        <v>156</v>
      </c>
      <c r="C147" s="162"/>
      <c r="D147" s="162"/>
      <c r="E147" s="162"/>
      <c r="F147" s="162"/>
      <c r="G147" s="162"/>
      <c r="H147" s="162"/>
      <c r="I147" s="163"/>
    </row>
  </sheetData>
  <mergeCells count="159">
    <mergeCell ref="A1:I1"/>
    <mergeCell ref="A2:I2"/>
    <mergeCell ref="A3:I3"/>
    <mergeCell ref="A4:I4"/>
    <mergeCell ref="A5:I5"/>
    <mergeCell ref="A6:I6"/>
    <mergeCell ref="A7:I7"/>
    <mergeCell ref="A8:I8"/>
    <mergeCell ref="B9:H9"/>
    <mergeCell ref="B10:H10"/>
    <mergeCell ref="B11:H11"/>
    <mergeCell ref="B12:H12"/>
    <mergeCell ref="A13:I13"/>
    <mergeCell ref="A14:D14"/>
    <mergeCell ref="E14:F14"/>
    <mergeCell ref="G14:I14"/>
    <mergeCell ref="A15:D15"/>
    <mergeCell ref="E15:F16"/>
    <mergeCell ref="G15:I16"/>
    <mergeCell ref="A16:D16"/>
    <mergeCell ref="B17:I17"/>
    <mergeCell ref="A18:I18"/>
    <mergeCell ref="A19:I19"/>
    <mergeCell ref="A20:I20"/>
    <mergeCell ref="B21:H21"/>
    <mergeCell ref="B22:H22"/>
    <mergeCell ref="B23:H23"/>
    <mergeCell ref="B24:H24"/>
    <mergeCell ref="B25:H25"/>
    <mergeCell ref="B26:H26"/>
    <mergeCell ref="B27:H27"/>
    <mergeCell ref="A28:I28"/>
    <mergeCell ref="A29:I29"/>
    <mergeCell ref="B30:H30"/>
    <mergeCell ref="B31:H31"/>
    <mergeCell ref="B32:H32"/>
    <mergeCell ref="B33:H33"/>
    <mergeCell ref="B34:H34"/>
    <mergeCell ref="B35:H35"/>
    <mergeCell ref="B36:H36"/>
    <mergeCell ref="A37:H37"/>
    <mergeCell ref="A38:I38"/>
    <mergeCell ref="B39:H39"/>
    <mergeCell ref="A40:A42"/>
    <mergeCell ref="B40:H40"/>
    <mergeCell ref="B41:G41"/>
    <mergeCell ref="B42:G42"/>
    <mergeCell ref="A43:A44"/>
    <mergeCell ref="B43:H43"/>
    <mergeCell ref="B44:G44"/>
    <mergeCell ref="B45:H45"/>
    <mergeCell ref="A46:H46"/>
    <mergeCell ref="A47:I47"/>
    <mergeCell ref="A48:I48"/>
    <mergeCell ref="B49:H49"/>
    <mergeCell ref="B50:H50"/>
    <mergeCell ref="A51:H51"/>
    <mergeCell ref="A52:I52"/>
    <mergeCell ref="A53:I53"/>
    <mergeCell ref="B54:G54"/>
    <mergeCell ref="B55:G55"/>
    <mergeCell ref="B56:G56"/>
    <mergeCell ref="B57:G57"/>
    <mergeCell ref="B58:G58"/>
    <mergeCell ref="B59:G59"/>
    <mergeCell ref="B60:G60"/>
    <mergeCell ref="B61:E61"/>
    <mergeCell ref="B62:G62"/>
    <mergeCell ref="A63:G63"/>
    <mergeCell ref="A64:I64"/>
    <mergeCell ref="A65:I65"/>
    <mergeCell ref="A66:I66"/>
    <mergeCell ref="B67:H67"/>
    <mergeCell ref="B68:H68"/>
    <mergeCell ref="A69:H69"/>
    <mergeCell ref="B70:H70"/>
    <mergeCell ref="A71:H71"/>
    <mergeCell ref="A72:I72"/>
    <mergeCell ref="B73:H73"/>
    <mergeCell ref="B74:H74"/>
    <mergeCell ref="B75:H75"/>
    <mergeCell ref="A76:H76"/>
    <mergeCell ref="A77:I77"/>
    <mergeCell ref="B78:H78"/>
    <mergeCell ref="B79:H79"/>
    <mergeCell ref="B80:H80"/>
    <mergeCell ref="B81:H81"/>
    <mergeCell ref="B82:H82"/>
    <mergeCell ref="B83:H83"/>
    <mergeCell ref="B84:H84"/>
    <mergeCell ref="A85:H85"/>
    <mergeCell ref="A86:I86"/>
    <mergeCell ref="B87:H87"/>
    <mergeCell ref="B88:H88"/>
    <mergeCell ref="B89:H89"/>
    <mergeCell ref="B90:H90"/>
    <mergeCell ref="B91:H91"/>
    <mergeCell ref="B92:H92"/>
    <mergeCell ref="A93:H93"/>
    <mergeCell ref="B94:H94"/>
    <mergeCell ref="A95:H95"/>
    <mergeCell ref="A96:I96"/>
    <mergeCell ref="B97:H97"/>
    <mergeCell ref="B98:H98"/>
    <mergeCell ref="B99:H99"/>
    <mergeCell ref="B100:H100"/>
    <mergeCell ref="B101:H101"/>
    <mergeCell ref="B102:H102"/>
    <mergeCell ref="A103:H103"/>
    <mergeCell ref="A104:I104"/>
    <mergeCell ref="B105:G105"/>
    <mergeCell ref="A106:G106"/>
    <mergeCell ref="B107:G107"/>
    <mergeCell ref="A108:G108"/>
    <mergeCell ref="B109:G109"/>
    <mergeCell ref="A110:G110"/>
    <mergeCell ref="A111:A118"/>
    <mergeCell ref="B111:G111"/>
    <mergeCell ref="B112:G112"/>
    <mergeCell ref="B113:G113"/>
    <mergeCell ref="B114:G114"/>
    <mergeCell ref="B115:G115"/>
    <mergeCell ref="B116:G116"/>
    <mergeCell ref="B117:G117"/>
    <mergeCell ref="B118:G118"/>
    <mergeCell ref="A119:H119"/>
    <mergeCell ref="A120:G120"/>
    <mergeCell ref="A121:B122"/>
    <mergeCell ref="C121:I121"/>
    <mergeCell ref="C122:I122"/>
    <mergeCell ref="A123:I123"/>
    <mergeCell ref="A124:I124"/>
    <mergeCell ref="A125:I125"/>
    <mergeCell ref="A126:I126"/>
    <mergeCell ref="A127:I127"/>
    <mergeCell ref="A128:H128"/>
    <mergeCell ref="B129:H129"/>
    <mergeCell ref="B130:H130"/>
    <mergeCell ref="B131:H131"/>
    <mergeCell ref="B132:H132"/>
    <mergeCell ref="A133:H133"/>
    <mergeCell ref="B134:H134"/>
    <mergeCell ref="A135:H135"/>
    <mergeCell ref="A136:I136"/>
    <mergeCell ref="A137:I137"/>
    <mergeCell ref="A138:I138"/>
    <mergeCell ref="A139:B139"/>
    <mergeCell ref="C139:D139"/>
    <mergeCell ref="F139:G139"/>
    <mergeCell ref="A140:B140"/>
    <mergeCell ref="C140:D140"/>
    <mergeCell ref="F140:G140"/>
    <mergeCell ref="A141:I141"/>
    <mergeCell ref="A142:I142"/>
    <mergeCell ref="A143:I143"/>
    <mergeCell ref="A144:I144"/>
    <mergeCell ref="B145:H145"/>
    <mergeCell ref="B146:H146"/>
    <mergeCell ref="B147:H147"/>
  </mergeCells>
  <printOptions headings="false" gridLines="false" gridLinesSet="true" horizontalCentered="false" verticalCentered="false"/>
  <pageMargins left="0.698611111111111" right="0.698611111111111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1" man="true" max="16383" min="0"/>
    <brk id="103" man="true" max="16383" min="0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N150"/>
  <sheetViews>
    <sheetView showFormulas="false" showGridLines="true" showRowColHeaders="true" showZeros="true" rightToLeft="false" tabSelected="false" showOutlineSymbols="true" defaultGridColor="true" view="pageBreakPreview" topLeftCell="B139" colorId="64" zoomScale="76" zoomScaleNormal="100" zoomScalePageLayoutView="76" workbookViewId="0">
      <selection pane="topLeft" activeCell="L61" activeCellId="0" sqref="L61"/>
    </sheetView>
  </sheetViews>
  <sheetFormatPr defaultRowHeight="15" zeroHeight="false" outlineLevelRow="0" outlineLevelCol="0"/>
  <cols>
    <col collapsed="false" customWidth="true" hidden="false" outlineLevel="0" max="1" min="1" style="1" width="17.13"/>
    <col collapsed="false" customWidth="true" hidden="false" outlineLevel="0" max="2" min="2" style="1" width="17.59"/>
    <col collapsed="false" customWidth="true" hidden="false" outlineLevel="0" max="3" min="3" style="1" width="13.02"/>
    <col collapsed="false" customWidth="true" hidden="false" outlineLevel="0" max="4" min="4" style="1" width="12.42"/>
    <col collapsed="false" customWidth="true" hidden="false" outlineLevel="0" max="5" min="5" style="1" width="10.85"/>
    <col collapsed="false" customWidth="true" hidden="false" outlineLevel="0" max="6" min="6" style="1" width="14.43"/>
    <col collapsed="false" customWidth="true" hidden="false" outlineLevel="0" max="7" min="7" style="1" width="16.57"/>
    <col collapsed="false" customWidth="true" hidden="false" outlineLevel="0" max="8" min="8" style="1" width="16.14"/>
    <col collapsed="false" customWidth="true" hidden="false" outlineLevel="0" max="9" min="9" style="1" width="44.31"/>
    <col collapsed="false" customWidth="true" hidden="true" outlineLevel="0" max="11" min="10" style="1" width="9"/>
    <col collapsed="false" customWidth="true" hidden="false" outlineLevel="0" max="12" min="12" style="1" width="58.57"/>
    <col collapsed="false" customWidth="true" hidden="false" outlineLevel="0" max="1025" min="13" style="1" width="28.57"/>
  </cols>
  <sheetData>
    <row r="1" s="101" customFormat="true" ht="15.75" hidden="false" customHeight="false" outlineLevel="0" collapsed="false">
      <c r="A1" s="173" t="s">
        <v>178</v>
      </c>
      <c r="I1" s="261"/>
    </row>
    <row r="2" s="101" customFormat="true" ht="15.75" hidden="false" customHeight="false" outlineLevel="0" collapsed="false">
      <c r="A2" s="173" t="s">
        <v>179</v>
      </c>
      <c r="I2" s="261"/>
    </row>
    <row r="3" s="101" customFormat="true" ht="15.75" hidden="false" customHeight="false" outlineLevel="0" collapsed="false">
      <c r="A3" s="173" t="s">
        <v>180</v>
      </c>
      <c r="I3" s="261"/>
    </row>
    <row r="4" s="101" customFormat="true" ht="15.75" hidden="false" customHeight="false" outlineLevel="0" collapsed="false">
      <c r="A4" s="173" t="s">
        <v>181</v>
      </c>
      <c r="I4" s="261"/>
    </row>
    <row r="5" s="101" customFormat="true" ht="15.75" hidden="false" customHeight="false" outlineLevel="0" collapsed="false">
      <c r="A5" s="173" t="s">
        <v>182</v>
      </c>
      <c r="I5" s="261"/>
    </row>
    <row r="6" s="101" customFormat="true" ht="15.75" hidden="false" customHeight="false" outlineLevel="0" collapsed="false">
      <c r="A6" s="173" t="s">
        <v>183</v>
      </c>
      <c r="I6" s="261"/>
    </row>
    <row r="7" customFormat="false" ht="15.75" hidden="false" customHeight="false" outlineLevel="0" collapsed="false">
      <c r="A7" s="174" t="s">
        <v>184</v>
      </c>
      <c r="I7" s="262"/>
    </row>
    <row r="8" customFormat="false" ht="15.75" hidden="false" customHeight="false" outlineLevel="0" collapsed="false">
      <c r="A8" s="263" t="s">
        <v>1</v>
      </c>
      <c r="B8" s="263"/>
      <c r="C8" s="263"/>
      <c r="D8" s="263"/>
      <c r="E8" s="263"/>
      <c r="F8" s="263"/>
      <c r="G8" s="263"/>
      <c r="H8" s="263"/>
      <c r="I8" s="263"/>
    </row>
    <row r="9" customFormat="false" ht="15.75" hidden="false" customHeight="false" outlineLevel="0" collapsed="false">
      <c r="A9" s="4" t="s">
        <v>2</v>
      </c>
      <c r="B9" s="4"/>
      <c r="C9" s="4"/>
      <c r="D9" s="4"/>
      <c r="E9" s="4"/>
      <c r="F9" s="4"/>
      <c r="G9" s="4"/>
      <c r="H9" s="4"/>
      <c r="I9" s="4"/>
    </row>
    <row r="10" customFormat="false" ht="15.75" hidden="false" customHeight="false" outlineLevel="0" collapsed="false">
      <c r="A10" s="5" t="s">
        <v>3</v>
      </c>
      <c r="B10" s="5"/>
      <c r="C10" s="5"/>
      <c r="D10" s="5"/>
      <c r="E10" s="5"/>
      <c r="F10" s="5"/>
      <c r="G10" s="5"/>
      <c r="H10" s="5"/>
      <c r="I10" s="5"/>
    </row>
    <row r="11" customFormat="false" ht="15.75" hidden="false" customHeight="false" outlineLevel="0" collapsed="false">
      <c r="A11" s="6" t="s">
        <v>4</v>
      </c>
      <c r="B11" s="6"/>
      <c r="C11" s="6"/>
      <c r="D11" s="6"/>
      <c r="E11" s="6"/>
      <c r="F11" s="6"/>
      <c r="G11" s="6"/>
      <c r="H11" s="6"/>
      <c r="I11" s="6"/>
    </row>
    <row r="12" customFormat="false" ht="15.75" hidden="false" customHeight="false" outlineLevel="0" collapsed="false">
      <c r="A12" s="7" t="s">
        <v>5</v>
      </c>
      <c r="B12" s="7"/>
      <c r="C12" s="7"/>
      <c r="D12" s="7"/>
      <c r="E12" s="7"/>
      <c r="F12" s="7"/>
      <c r="G12" s="7"/>
      <c r="H12" s="7"/>
      <c r="I12" s="7"/>
    </row>
    <row r="13" customFormat="false" ht="15.75" hidden="false" customHeight="false" outlineLevel="0" collapsed="false">
      <c r="A13" s="8" t="s">
        <v>6</v>
      </c>
      <c r="B13" s="8"/>
      <c r="C13" s="8"/>
      <c r="D13" s="8"/>
      <c r="E13" s="8"/>
      <c r="F13" s="8"/>
      <c r="G13" s="8"/>
      <c r="H13" s="8"/>
      <c r="I13" s="8"/>
    </row>
    <row r="14" customFormat="false" ht="15.75" hidden="false" customHeight="false" outlineLevel="0" collapsed="false">
      <c r="A14" s="179" t="s">
        <v>7</v>
      </c>
      <c r="B14" s="179"/>
      <c r="C14" s="179"/>
      <c r="D14" s="179"/>
      <c r="E14" s="179"/>
      <c r="F14" s="179"/>
      <c r="G14" s="179"/>
      <c r="H14" s="179"/>
      <c r="I14" s="179"/>
    </row>
    <row r="15" customFormat="false" ht="15.75" hidden="false" customHeight="false" outlineLevel="0" collapsed="false">
      <c r="A15" s="10" t="s">
        <v>8</v>
      </c>
      <c r="B15" s="11" t="s">
        <v>9</v>
      </c>
      <c r="C15" s="11"/>
      <c r="D15" s="11"/>
      <c r="E15" s="11"/>
      <c r="F15" s="11"/>
      <c r="G15" s="11"/>
      <c r="H15" s="11"/>
      <c r="I15" s="264"/>
      <c r="L15" s="13"/>
    </row>
    <row r="16" customFormat="false" ht="15.75" hidden="false" customHeight="false" outlineLevel="0" collapsed="false">
      <c r="A16" s="14" t="s">
        <v>10</v>
      </c>
      <c r="B16" s="15" t="s">
        <v>11</v>
      </c>
      <c r="C16" s="15"/>
      <c r="D16" s="15"/>
      <c r="E16" s="15"/>
      <c r="F16" s="15"/>
      <c r="G16" s="15"/>
      <c r="H16" s="15"/>
      <c r="I16" s="265" t="s">
        <v>223</v>
      </c>
      <c r="L16" s="13"/>
    </row>
    <row r="17" customFormat="false" ht="47.25" hidden="false" customHeight="true" outlineLevel="0" collapsed="false">
      <c r="A17" s="17" t="s">
        <v>12</v>
      </c>
      <c r="B17" s="18" t="s">
        <v>13</v>
      </c>
      <c r="C17" s="18"/>
      <c r="D17" s="18"/>
      <c r="E17" s="18"/>
      <c r="F17" s="18"/>
      <c r="G17" s="18"/>
      <c r="H17" s="18"/>
      <c r="I17" s="266" t="s">
        <v>186</v>
      </c>
      <c r="L17" s="13"/>
    </row>
    <row r="18" customFormat="false" ht="15.75" hidden="false" customHeight="false" outlineLevel="0" collapsed="false">
      <c r="A18" s="20" t="s">
        <v>14</v>
      </c>
      <c r="B18" s="21" t="s">
        <v>15</v>
      </c>
      <c r="C18" s="21"/>
      <c r="D18" s="21"/>
      <c r="E18" s="21"/>
      <c r="F18" s="21"/>
      <c r="G18" s="21"/>
      <c r="H18" s="21"/>
      <c r="I18" s="267" t="n">
        <v>12</v>
      </c>
    </row>
    <row r="19" customFormat="false" ht="15.75" hidden="false" customHeight="false" outlineLevel="0" collapsed="false">
      <c r="A19" s="179" t="s">
        <v>16</v>
      </c>
      <c r="B19" s="179"/>
      <c r="C19" s="179"/>
      <c r="D19" s="179"/>
      <c r="E19" s="179"/>
      <c r="F19" s="179"/>
      <c r="G19" s="179"/>
      <c r="H19" s="179"/>
      <c r="I19" s="179"/>
    </row>
    <row r="20" customFormat="false" ht="15.75" hidden="false" customHeight="false" outlineLevel="0" collapsed="false">
      <c r="A20" s="23" t="s">
        <v>17</v>
      </c>
      <c r="B20" s="23"/>
      <c r="C20" s="23"/>
      <c r="D20" s="23"/>
      <c r="E20" s="24" t="s">
        <v>18</v>
      </c>
      <c r="F20" s="24"/>
      <c r="G20" s="25" t="s">
        <v>19</v>
      </c>
      <c r="H20" s="25"/>
      <c r="I20" s="25"/>
    </row>
    <row r="21" customFormat="false" ht="15.75" hidden="false" customHeight="true" outlineLevel="0" collapsed="false">
      <c r="A21" s="26" t="s">
        <v>20</v>
      </c>
      <c r="B21" s="26"/>
      <c r="C21" s="26"/>
      <c r="D21" s="26"/>
      <c r="E21" s="27" t="s">
        <v>21</v>
      </c>
      <c r="F21" s="27"/>
      <c r="G21" s="28" t="n">
        <v>1</v>
      </c>
      <c r="H21" s="28"/>
      <c r="I21" s="28"/>
    </row>
    <row r="22" customFormat="false" ht="47.25" hidden="false" customHeight="true" outlineLevel="0" collapsed="false">
      <c r="A22" s="332" t="s">
        <v>236</v>
      </c>
      <c r="B22" s="332"/>
      <c r="C22" s="332"/>
      <c r="D22" s="332"/>
      <c r="E22" s="27"/>
      <c r="F22" s="27"/>
      <c r="G22" s="28"/>
      <c r="H22" s="28"/>
      <c r="I22" s="28"/>
      <c r="L22" s="30"/>
    </row>
    <row r="23" customFormat="false" ht="7.5" hidden="false" customHeight="true" outlineLevel="0" collapsed="false">
      <c r="A23" s="31"/>
      <c r="B23" s="269"/>
      <c r="C23" s="269"/>
      <c r="D23" s="269"/>
      <c r="E23" s="269"/>
      <c r="F23" s="269"/>
      <c r="G23" s="269"/>
      <c r="H23" s="269"/>
      <c r="I23" s="269"/>
    </row>
    <row r="24" customFormat="false" ht="15.75" hidden="false" customHeight="false" outlineLevel="0" collapsed="false">
      <c r="A24" s="33" t="s">
        <v>22</v>
      </c>
      <c r="B24" s="33"/>
      <c r="C24" s="33"/>
      <c r="D24" s="33"/>
      <c r="E24" s="33"/>
      <c r="F24" s="33"/>
      <c r="G24" s="33"/>
      <c r="H24" s="33"/>
      <c r="I24" s="33"/>
    </row>
    <row r="25" customFormat="false" ht="15.75" hidden="false" customHeight="false" outlineLevel="0" collapsed="false">
      <c r="A25" s="34" t="s">
        <v>23</v>
      </c>
      <c r="B25" s="34"/>
      <c r="C25" s="34"/>
      <c r="D25" s="34"/>
      <c r="E25" s="34"/>
      <c r="F25" s="34"/>
      <c r="G25" s="34"/>
      <c r="H25" s="34"/>
      <c r="I25" s="34"/>
    </row>
    <row r="26" customFormat="false" ht="15.75" hidden="false" customHeight="false" outlineLevel="0" collapsed="false">
      <c r="A26" s="35" t="s">
        <v>24</v>
      </c>
      <c r="B26" s="35"/>
      <c r="C26" s="35"/>
      <c r="D26" s="35"/>
      <c r="E26" s="35"/>
      <c r="F26" s="35"/>
      <c r="G26" s="35"/>
      <c r="H26" s="35"/>
      <c r="I26" s="35"/>
    </row>
    <row r="27" customFormat="false" ht="15.75" hidden="false" customHeight="true" outlineLevel="0" collapsed="false">
      <c r="A27" s="14" t="n">
        <v>1</v>
      </c>
      <c r="B27" s="36" t="s">
        <v>25</v>
      </c>
      <c r="C27" s="36"/>
      <c r="D27" s="36"/>
      <c r="E27" s="36"/>
      <c r="F27" s="36"/>
      <c r="G27" s="36"/>
      <c r="H27" s="36"/>
      <c r="I27" s="266" t="s">
        <v>26</v>
      </c>
    </row>
    <row r="28" customFormat="false" ht="15.75" hidden="false" customHeight="true" outlineLevel="0" collapsed="false">
      <c r="A28" s="14" t="n">
        <v>2</v>
      </c>
      <c r="B28" s="38" t="s">
        <v>27</v>
      </c>
      <c r="C28" s="38"/>
      <c r="D28" s="38"/>
      <c r="E28" s="38"/>
      <c r="F28" s="38"/>
      <c r="G28" s="38"/>
      <c r="H28" s="38"/>
      <c r="I28" s="265" t="n">
        <f aca="false">Dados!B2</f>
        <v>1305.17</v>
      </c>
    </row>
    <row r="29" customFormat="false" ht="15.75" hidden="false" customHeight="true" outlineLevel="0" collapsed="false">
      <c r="A29" s="14" t="n">
        <v>3</v>
      </c>
      <c r="B29" s="38" t="s">
        <v>28</v>
      </c>
      <c r="C29" s="38"/>
      <c r="D29" s="38"/>
      <c r="E29" s="38"/>
      <c r="F29" s="38"/>
      <c r="G29" s="38"/>
      <c r="H29" s="38"/>
      <c r="I29" s="265" t="s">
        <v>188</v>
      </c>
    </row>
    <row r="30" customFormat="false" ht="15.75" hidden="false" customHeight="true" outlineLevel="0" collapsed="false">
      <c r="A30" s="40" t="n">
        <v>4</v>
      </c>
      <c r="B30" s="329" t="s">
        <v>29</v>
      </c>
      <c r="C30" s="329"/>
      <c r="D30" s="329"/>
      <c r="E30" s="329"/>
      <c r="F30" s="329"/>
      <c r="G30" s="329"/>
      <c r="H30" s="329"/>
      <c r="I30" s="270" t="n">
        <v>42005</v>
      </c>
    </row>
    <row r="31" customFormat="false" ht="15.75" hidden="false" customHeight="true" outlineLevel="0" collapsed="false">
      <c r="A31" s="40" t="n">
        <v>5</v>
      </c>
      <c r="B31" s="38" t="s">
        <v>30</v>
      </c>
      <c r="C31" s="38"/>
      <c r="D31" s="38"/>
      <c r="E31" s="38"/>
      <c r="F31" s="38"/>
      <c r="G31" s="38"/>
      <c r="H31" s="38"/>
      <c r="I31" s="270" t="n">
        <f aca="false">I28/220</f>
        <v>5.93259090909091</v>
      </c>
    </row>
    <row r="32" customFormat="false" ht="15.75" hidden="false" customHeight="true" outlineLevel="0" collapsed="false">
      <c r="A32" s="40" t="n">
        <v>6</v>
      </c>
      <c r="B32" s="38" t="s">
        <v>31</v>
      </c>
      <c r="C32" s="38"/>
      <c r="D32" s="38"/>
      <c r="E32" s="38"/>
      <c r="F32" s="38"/>
      <c r="G32" s="38"/>
      <c r="H32" s="38"/>
      <c r="I32" s="270" t="n">
        <f aca="false">I31*1.5</f>
        <v>8.89888636363636</v>
      </c>
    </row>
    <row r="33" customFormat="false" ht="16.5" hidden="false" customHeight="true" outlineLevel="0" collapsed="false">
      <c r="A33" s="20" t="n">
        <v>7</v>
      </c>
      <c r="B33" s="44" t="s">
        <v>32</v>
      </c>
      <c r="C33" s="44"/>
      <c r="D33" s="44"/>
      <c r="E33" s="44"/>
      <c r="F33" s="44"/>
      <c r="G33" s="44"/>
      <c r="H33" s="44"/>
      <c r="I33" s="267" t="n">
        <f aca="false">I31*0.2</f>
        <v>1.18651818181818</v>
      </c>
    </row>
    <row r="34" customFormat="false" ht="15.75" hidden="false" customHeight="false" outlineLevel="0" collapsed="false">
      <c r="A34" s="271"/>
      <c r="B34" s="271"/>
      <c r="C34" s="271"/>
      <c r="D34" s="271"/>
      <c r="E34" s="271"/>
      <c r="F34" s="271"/>
      <c r="G34" s="271"/>
      <c r="H34" s="271"/>
      <c r="I34" s="271"/>
    </row>
    <row r="35" customFormat="false" ht="15.75" hidden="false" customHeight="false" outlineLevel="0" collapsed="false">
      <c r="A35" s="47" t="s">
        <v>33</v>
      </c>
      <c r="B35" s="47"/>
      <c r="C35" s="47"/>
      <c r="D35" s="47"/>
      <c r="E35" s="47"/>
      <c r="F35" s="47"/>
      <c r="G35" s="47"/>
      <c r="H35" s="47"/>
      <c r="I35" s="47"/>
    </row>
    <row r="36" customFormat="false" ht="15.75" hidden="false" customHeight="false" outlineLevel="0" collapsed="false">
      <c r="A36" s="48" t="n">
        <v>1</v>
      </c>
      <c r="B36" s="49" t="s">
        <v>34</v>
      </c>
      <c r="C36" s="49"/>
      <c r="D36" s="49"/>
      <c r="E36" s="49"/>
      <c r="F36" s="49"/>
      <c r="G36" s="49"/>
      <c r="H36" s="49"/>
      <c r="I36" s="272" t="s">
        <v>35</v>
      </c>
      <c r="L36" s="51"/>
    </row>
    <row r="37" customFormat="false" ht="15.75" hidden="false" customHeight="false" outlineLevel="0" collapsed="false">
      <c r="A37" s="17" t="s">
        <v>8</v>
      </c>
      <c r="B37" s="52" t="s">
        <v>237</v>
      </c>
      <c r="C37" s="52"/>
      <c r="D37" s="52"/>
      <c r="E37" s="52"/>
      <c r="F37" s="52"/>
      <c r="G37" s="52"/>
      <c r="H37" s="52"/>
      <c r="I37" s="273" t="n">
        <f aca="false">I28</f>
        <v>1305.17</v>
      </c>
      <c r="L37" s="51"/>
    </row>
    <row r="38" customFormat="false" ht="15.75" hidden="false" customHeight="false" outlineLevel="0" collapsed="false">
      <c r="A38" s="17" t="s">
        <v>10</v>
      </c>
      <c r="B38" s="52" t="s">
        <v>238</v>
      </c>
      <c r="C38" s="52"/>
      <c r="D38" s="52"/>
      <c r="E38" s="52"/>
      <c r="F38" s="52"/>
      <c r="G38" s="52"/>
      <c r="H38" s="52"/>
      <c r="I38" s="273" t="n">
        <f aca="false">ROUND((I32*21),2)</f>
        <v>186.88</v>
      </c>
      <c r="L38" s="55"/>
    </row>
    <row r="39" customFormat="false" ht="18" hidden="false" customHeight="true" outlineLevel="0" collapsed="false">
      <c r="A39" s="274" t="s">
        <v>12</v>
      </c>
      <c r="B39" s="58" t="s">
        <v>43</v>
      </c>
      <c r="C39" s="58"/>
      <c r="D39" s="58"/>
      <c r="E39" s="58"/>
      <c r="F39" s="58"/>
      <c r="G39" s="58"/>
      <c r="H39" s="58"/>
      <c r="I39" s="273" t="n">
        <f aca="false">SUM(I38:I38)*0.2</f>
        <v>37.376</v>
      </c>
      <c r="K39" s="59"/>
    </row>
    <row r="40" customFormat="false" ht="15.75" hidden="false" customHeight="false" outlineLevel="0" collapsed="false">
      <c r="A40" s="60" t="s">
        <v>44</v>
      </c>
      <c r="B40" s="60"/>
      <c r="C40" s="60"/>
      <c r="D40" s="60"/>
      <c r="E40" s="60"/>
      <c r="F40" s="60"/>
      <c r="G40" s="60"/>
      <c r="H40" s="60"/>
      <c r="I40" s="275" t="n">
        <f aca="false">SUM(I37:I39)</f>
        <v>1529.426</v>
      </c>
    </row>
    <row r="41" customFormat="false" ht="15.75" hidden="false" customHeight="false" outlineLevel="0" collapsed="false">
      <c r="A41" s="47" t="s">
        <v>45</v>
      </c>
      <c r="B41" s="47"/>
      <c r="C41" s="47"/>
      <c r="D41" s="47"/>
      <c r="E41" s="47"/>
      <c r="F41" s="47"/>
      <c r="G41" s="47"/>
      <c r="H41" s="47"/>
      <c r="I41" s="47"/>
    </row>
    <row r="42" customFormat="false" ht="15.75" hidden="false" customHeight="false" outlineLevel="0" collapsed="false">
      <c r="A42" s="62" t="n">
        <v>2</v>
      </c>
      <c r="B42" s="63" t="s">
        <v>46</v>
      </c>
      <c r="C42" s="63"/>
      <c r="D42" s="63"/>
      <c r="E42" s="63"/>
      <c r="F42" s="63"/>
      <c r="G42" s="63"/>
      <c r="H42" s="63"/>
      <c r="I42" s="272" t="s">
        <v>35</v>
      </c>
    </row>
    <row r="43" customFormat="false" ht="15.75" hidden="false" customHeight="true" outlineLevel="0" collapsed="false">
      <c r="A43" s="64" t="s">
        <v>8</v>
      </c>
      <c r="B43" s="54" t="s">
        <v>206</v>
      </c>
      <c r="C43" s="54"/>
      <c r="D43" s="54"/>
      <c r="E43" s="54"/>
      <c r="F43" s="54"/>
      <c r="G43" s="54"/>
      <c r="H43" s="54"/>
      <c r="I43" s="273" t="n">
        <f aca="false">ROUND((H45*H44*26)-(0.06*I37),2)</f>
        <v>111.49</v>
      </c>
      <c r="L43" s="66"/>
    </row>
    <row r="44" customFormat="false" ht="33.75" hidden="false" customHeight="true" outlineLevel="0" collapsed="false">
      <c r="A44" s="64"/>
      <c r="B44" s="277" t="s">
        <v>232</v>
      </c>
      <c r="C44" s="277"/>
      <c r="D44" s="277"/>
      <c r="E44" s="277"/>
      <c r="F44" s="277"/>
      <c r="G44" s="277"/>
      <c r="H44" s="278" t="n">
        <f aca="false">Dados!B10</f>
        <v>3.65</v>
      </c>
      <c r="I44" s="279"/>
    </row>
    <row r="45" customFormat="false" ht="15.75" hidden="false" customHeight="false" outlineLevel="0" collapsed="false">
      <c r="A45" s="64"/>
      <c r="B45" s="69" t="s">
        <v>49</v>
      </c>
      <c r="C45" s="69"/>
      <c r="D45" s="69"/>
      <c r="E45" s="69"/>
      <c r="F45" s="69"/>
      <c r="G45" s="69"/>
      <c r="H45" s="70" t="n">
        <v>2</v>
      </c>
      <c r="I45" s="279"/>
    </row>
    <row r="46" customFormat="false" ht="15.75" hidden="false" customHeight="true" outlineLevel="0" collapsed="false">
      <c r="A46" s="64" t="s">
        <v>10</v>
      </c>
      <c r="B46" s="54" t="s">
        <v>50</v>
      </c>
      <c r="C46" s="54"/>
      <c r="D46" s="54"/>
      <c r="E46" s="54"/>
      <c r="F46" s="54"/>
      <c r="G46" s="54"/>
      <c r="H46" s="54"/>
      <c r="I46" s="279" t="n">
        <f aca="false">ROUND(((1*21*H47)+(5*Dados!B4))*(1-0.18),2)</f>
        <v>322.37</v>
      </c>
    </row>
    <row r="47" customFormat="false" ht="15.75" hidden="false" customHeight="false" outlineLevel="0" collapsed="false">
      <c r="A47" s="64"/>
      <c r="B47" s="69" t="s">
        <v>51</v>
      </c>
      <c r="C47" s="69"/>
      <c r="D47" s="69"/>
      <c r="E47" s="69"/>
      <c r="F47" s="69"/>
      <c r="G47" s="69"/>
      <c r="H47" s="280" t="n">
        <f aca="false">Dados!B3</f>
        <v>16.73</v>
      </c>
      <c r="I47" s="281"/>
    </row>
    <row r="48" customFormat="false" ht="15.75" hidden="false" customHeight="true" outlineLevel="0" collapsed="false">
      <c r="A48" s="17" t="s">
        <v>12</v>
      </c>
      <c r="B48" s="58" t="s">
        <v>194</v>
      </c>
      <c r="C48" s="58"/>
      <c r="D48" s="58"/>
      <c r="E48" s="58"/>
      <c r="F48" s="58"/>
      <c r="G48" s="58"/>
      <c r="H48" s="58"/>
      <c r="I48" s="279" t="n">
        <f aca="false">ROUND(Dados!B5*1,2)</f>
        <v>15.02</v>
      </c>
    </row>
    <row r="49" customFormat="false" ht="15.75" hidden="false" customHeight="false" outlineLevel="0" collapsed="false">
      <c r="A49" s="60" t="s">
        <v>53</v>
      </c>
      <c r="B49" s="60"/>
      <c r="C49" s="60"/>
      <c r="D49" s="60"/>
      <c r="E49" s="60"/>
      <c r="F49" s="60"/>
      <c r="G49" s="60"/>
      <c r="H49" s="60"/>
      <c r="I49" s="275" t="n">
        <f aca="false">SUM(I43:I48)</f>
        <v>448.88</v>
      </c>
    </row>
    <row r="50" customFormat="false" ht="15.75" hidden="false" customHeight="false" outlineLevel="0" collapsed="false">
      <c r="A50" s="73" t="s">
        <v>54</v>
      </c>
      <c r="B50" s="73"/>
      <c r="C50" s="73"/>
      <c r="D50" s="73"/>
      <c r="E50" s="73"/>
      <c r="F50" s="73"/>
      <c r="G50" s="73"/>
      <c r="H50" s="73"/>
      <c r="I50" s="73"/>
    </row>
    <row r="51" customFormat="false" ht="15.75" hidden="false" customHeight="false" outlineLevel="0" collapsed="false">
      <c r="A51" s="47" t="s">
        <v>55</v>
      </c>
      <c r="B51" s="47"/>
      <c r="C51" s="47"/>
      <c r="D51" s="47"/>
      <c r="E51" s="47"/>
      <c r="F51" s="47"/>
      <c r="G51" s="47"/>
      <c r="H51" s="47"/>
      <c r="I51" s="47"/>
    </row>
    <row r="52" customFormat="false" ht="15.75" hidden="false" customHeight="false" outlineLevel="0" collapsed="false">
      <c r="A52" s="62" t="n">
        <v>3</v>
      </c>
      <c r="B52" s="63" t="s">
        <v>56</v>
      </c>
      <c r="C52" s="63"/>
      <c r="D52" s="63"/>
      <c r="E52" s="63"/>
      <c r="F52" s="63"/>
      <c r="G52" s="63"/>
      <c r="H52" s="63"/>
      <c r="I52" s="272" t="s">
        <v>35</v>
      </c>
    </row>
    <row r="53" customFormat="false" ht="15.75" hidden="false" customHeight="false" outlineLevel="0" collapsed="false">
      <c r="A53" s="64" t="s">
        <v>8</v>
      </c>
      <c r="B53" s="74" t="s">
        <v>208</v>
      </c>
      <c r="C53" s="74"/>
      <c r="D53" s="74"/>
      <c r="E53" s="74"/>
      <c r="F53" s="74"/>
      <c r="G53" s="74"/>
      <c r="H53" s="74"/>
      <c r="I53" s="282" t="n">
        <f aca="false">Dados!D6*1</f>
        <v>68.838125</v>
      </c>
      <c r="J53" s="76"/>
      <c r="K53" s="77"/>
    </row>
    <row r="54" customFormat="false" ht="15.75" hidden="false" customHeight="false" outlineLevel="0" collapsed="false">
      <c r="A54" s="60" t="s">
        <v>58</v>
      </c>
      <c r="B54" s="60"/>
      <c r="C54" s="60"/>
      <c r="D54" s="60"/>
      <c r="E54" s="60"/>
      <c r="F54" s="60"/>
      <c r="G54" s="60"/>
      <c r="H54" s="60"/>
      <c r="I54" s="283" t="n">
        <f aca="false">SUM(I53:I53)</f>
        <v>68.838125</v>
      </c>
    </row>
    <row r="55" customFormat="false" ht="15.75" hidden="false" customHeight="false" outlineLevel="0" collapsed="false">
      <c r="A55" s="47" t="s">
        <v>59</v>
      </c>
      <c r="B55" s="47"/>
      <c r="C55" s="47"/>
      <c r="D55" s="47"/>
      <c r="E55" s="47"/>
      <c r="F55" s="47"/>
      <c r="G55" s="47"/>
      <c r="H55" s="47"/>
      <c r="I55" s="47"/>
    </row>
    <row r="56" customFormat="false" ht="15.75" hidden="false" customHeight="false" outlineLevel="0" collapsed="false">
      <c r="A56" s="79" t="s">
        <v>60</v>
      </c>
      <c r="B56" s="79"/>
      <c r="C56" s="79"/>
      <c r="D56" s="79"/>
      <c r="E56" s="79"/>
      <c r="F56" s="79"/>
      <c r="G56" s="79"/>
      <c r="H56" s="79"/>
      <c r="I56" s="79"/>
    </row>
    <row r="57" customFormat="false" ht="15.75" hidden="false" customHeight="false" outlineLevel="0" collapsed="false">
      <c r="A57" s="62" t="s">
        <v>61</v>
      </c>
      <c r="B57" s="80" t="s">
        <v>62</v>
      </c>
      <c r="C57" s="80"/>
      <c r="D57" s="80"/>
      <c r="E57" s="80"/>
      <c r="F57" s="80"/>
      <c r="G57" s="80"/>
      <c r="H57" s="81" t="s">
        <v>63</v>
      </c>
      <c r="I57" s="272" t="s">
        <v>35</v>
      </c>
    </row>
    <row r="58" customFormat="false" ht="15.75" hidden="false" customHeight="false" outlineLevel="0" collapsed="false">
      <c r="A58" s="82" t="s">
        <v>8</v>
      </c>
      <c r="B58" s="83" t="s">
        <v>64</v>
      </c>
      <c r="C58" s="83"/>
      <c r="D58" s="83"/>
      <c r="E58" s="83"/>
      <c r="F58" s="83"/>
      <c r="G58" s="83"/>
      <c r="H58" s="84" t="n">
        <v>0.2</v>
      </c>
      <c r="I58" s="273" t="n">
        <f aca="false">ROUND(($I$40-$I$38)*H58,2)</f>
        <v>268.51</v>
      </c>
      <c r="K58" s="66"/>
    </row>
    <row r="59" customFormat="false" ht="15.75" hidden="false" customHeight="false" outlineLevel="0" collapsed="false">
      <c r="A59" s="82" t="s">
        <v>10</v>
      </c>
      <c r="B59" s="83" t="s">
        <v>65</v>
      </c>
      <c r="C59" s="83"/>
      <c r="D59" s="83"/>
      <c r="E59" s="83"/>
      <c r="F59" s="83"/>
      <c r="G59" s="83"/>
      <c r="H59" s="85" t="n">
        <v>0.015</v>
      </c>
      <c r="I59" s="273" t="n">
        <f aca="false">ROUND(($I$40-$I$38)*H59,2)</f>
        <v>20.14</v>
      </c>
      <c r="K59" s="66"/>
    </row>
    <row r="60" customFormat="false" ht="15.75" hidden="false" customHeight="false" outlineLevel="0" collapsed="false">
      <c r="A60" s="82" t="s">
        <v>12</v>
      </c>
      <c r="B60" s="83" t="s">
        <v>66</v>
      </c>
      <c r="C60" s="83"/>
      <c r="D60" s="83"/>
      <c r="E60" s="83"/>
      <c r="F60" s="83"/>
      <c r="G60" s="83"/>
      <c r="H60" s="84" t="n">
        <v>0.01</v>
      </c>
      <c r="I60" s="273" t="n">
        <f aca="false">ROUND(($I$40-$I$38)*H60,2)</f>
        <v>13.43</v>
      </c>
      <c r="K60" s="66"/>
    </row>
    <row r="61" customFormat="false" ht="15.75" hidden="false" customHeight="false" outlineLevel="0" collapsed="false">
      <c r="A61" s="82" t="s">
        <v>14</v>
      </c>
      <c r="B61" s="83" t="s">
        <v>67</v>
      </c>
      <c r="C61" s="83"/>
      <c r="D61" s="83"/>
      <c r="E61" s="83"/>
      <c r="F61" s="83"/>
      <c r="G61" s="83"/>
      <c r="H61" s="86" t="n">
        <v>0.002</v>
      </c>
      <c r="I61" s="273" t="n">
        <f aca="false">ROUND(($I$40-$I$38)*H61,2)</f>
        <v>2.69</v>
      </c>
      <c r="K61" s="66"/>
    </row>
    <row r="62" customFormat="false" ht="15.75" hidden="false" customHeight="false" outlineLevel="0" collapsed="false">
      <c r="A62" s="82" t="s">
        <v>40</v>
      </c>
      <c r="B62" s="83" t="s">
        <v>68</v>
      </c>
      <c r="C62" s="83"/>
      <c r="D62" s="83"/>
      <c r="E62" s="83"/>
      <c r="F62" s="83"/>
      <c r="G62" s="83"/>
      <c r="H62" s="86" t="n">
        <v>0.025</v>
      </c>
      <c r="I62" s="273" t="n">
        <f aca="false">ROUND(($I$40-$I$38)*H62,2)</f>
        <v>33.56</v>
      </c>
      <c r="K62" s="66"/>
    </row>
    <row r="63" customFormat="false" ht="15.75" hidden="false" customHeight="false" outlineLevel="0" collapsed="false">
      <c r="A63" s="82" t="s">
        <v>42</v>
      </c>
      <c r="B63" s="83" t="s">
        <v>69</v>
      </c>
      <c r="C63" s="83"/>
      <c r="D63" s="83"/>
      <c r="E63" s="83"/>
      <c r="F63" s="83"/>
      <c r="G63" s="83"/>
      <c r="H63" s="84" t="n">
        <v>0.08</v>
      </c>
      <c r="I63" s="273" t="n">
        <f aca="false">ROUND(($I$40-$I$38)*H63,2)</f>
        <v>107.4</v>
      </c>
      <c r="K63" s="66"/>
    </row>
    <row r="64" customFormat="false" ht="15.75" hidden="false" customHeight="false" outlineLevel="0" collapsed="false">
      <c r="A64" s="82" t="s">
        <v>70</v>
      </c>
      <c r="B64" s="87" t="s">
        <v>71</v>
      </c>
      <c r="C64" s="87"/>
      <c r="D64" s="87"/>
      <c r="E64" s="87"/>
      <c r="F64" s="88" t="s">
        <v>72</v>
      </c>
      <c r="G64" s="89" t="s">
        <v>196</v>
      </c>
      <c r="H64" s="86" t="n">
        <v>0.015</v>
      </c>
      <c r="I64" s="273" t="n">
        <f aca="false">ROUND(($I$40-$I$38)*H64,2)</f>
        <v>20.14</v>
      </c>
      <c r="K64" s="66"/>
    </row>
    <row r="65" customFormat="false" ht="15" hidden="false" customHeight="false" outlineLevel="0" collapsed="false">
      <c r="A65" s="82" t="s">
        <v>74</v>
      </c>
      <c r="B65" s="83" t="s">
        <v>75</v>
      </c>
      <c r="C65" s="83"/>
      <c r="D65" s="83"/>
      <c r="E65" s="83"/>
      <c r="F65" s="83"/>
      <c r="G65" s="83"/>
      <c r="H65" s="86" t="n">
        <v>0.006</v>
      </c>
      <c r="I65" s="273" t="n">
        <f aca="false">ROUND(($I$40-$I$38)*H65,2)</f>
        <v>8.06</v>
      </c>
      <c r="K65" s="66"/>
    </row>
    <row r="66" customFormat="false" ht="15.75" hidden="false" customHeight="false" outlineLevel="0" collapsed="false">
      <c r="A66" s="90" t="s">
        <v>76</v>
      </c>
      <c r="B66" s="90"/>
      <c r="C66" s="90"/>
      <c r="D66" s="90"/>
      <c r="E66" s="90"/>
      <c r="F66" s="90"/>
      <c r="G66" s="90"/>
      <c r="H66" s="91" t="n">
        <f aca="false">SUM(H58:H65)</f>
        <v>0.353</v>
      </c>
      <c r="I66" s="284" t="n">
        <f aca="false">SUM(I58:I65)</f>
        <v>473.93</v>
      </c>
      <c r="K66" s="66"/>
    </row>
    <row r="67" customFormat="false" ht="15.75" hidden="false" customHeight="false" outlineLevel="0" collapsed="false">
      <c r="A67" s="93" t="s">
        <v>77</v>
      </c>
      <c r="B67" s="93"/>
      <c r="C67" s="93"/>
      <c r="D67" s="93"/>
      <c r="E67" s="93"/>
      <c r="F67" s="93"/>
      <c r="G67" s="93"/>
      <c r="H67" s="93"/>
      <c r="I67" s="93"/>
    </row>
    <row r="68" customFormat="false" ht="15.75" hidden="false" customHeight="false" outlineLevel="0" collapsed="false">
      <c r="A68" s="94" t="s">
        <v>78</v>
      </c>
      <c r="B68" s="94"/>
      <c r="C68" s="94"/>
      <c r="D68" s="94"/>
      <c r="E68" s="94"/>
      <c r="F68" s="94"/>
      <c r="G68" s="94"/>
      <c r="H68" s="94"/>
      <c r="I68" s="94"/>
    </row>
    <row r="69" customFormat="false" ht="15.75" hidden="false" customHeight="false" outlineLevel="0" collapsed="false">
      <c r="A69" s="79" t="s">
        <v>79</v>
      </c>
      <c r="B69" s="79"/>
      <c r="C69" s="79"/>
      <c r="D69" s="79"/>
      <c r="E69" s="79"/>
      <c r="F69" s="79"/>
      <c r="G69" s="79"/>
      <c r="H69" s="79"/>
      <c r="I69" s="79"/>
    </row>
    <row r="70" customFormat="false" ht="15.75" hidden="false" customHeight="false" outlineLevel="0" collapsed="false">
      <c r="A70" s="62" t="s">
        <v>80</v>
      </c>
      <c r="B70" s="81" t="s">
        <v>81</v>
      </c>
      <c r="C70" s="81"/>
      <c r="D70" s="81"/>
      <c r="E70" s="81"/>
      <c r="F70" s="81"/>
      <c r="G70" s="81"/>
      <c r="H70" s="81"/>
      <c r="I70" s="272" t="s">
        <v>35</v>
      </c>
    </row>
    <row r="71" customFormat="false" ht="38.25" hidden="false" customHeight="true" outlineLevel="0" collapsed="false">
      <c r="A71" s="17" t="s">
        <v>8</v>
      </c>
      <c r="B71" s="95" t="s">
        <v>82</v>
      </c>
      <c r="C71" s="95"/>
      <c r="D71" s="95"/>
      <c r="E71" s="95"/>
      <c r="F71" s="95"/>
      <c r="G71" s="95"/>
      <c r="H71" s="95"/>
      <c r="I71" s="285" t="n">
        <f aca="false">ROUND(I40/12,2)</f>
        <v>127.45</v>
      </c>
      <c r="K71" s="66"/>
    </row>
    <row r="72" customFormat="false" ht="15.75" hidden="false" customHeight="false" outlineLevel="0" collapsed="false">
      <c r="A72" s="97" t="s">
        <v>83</v>
      </c>
      <c r="B72" s="97"/>
      <c r="C72" s="97"/>
      <c r="D72" s="97"/>
      <c r="E72" s="97"/>
      <c r="F72" s="97"/>
      <c r="G72" s="97"/>
      <c r="H72" s="97"/>
      <c r="I72" s="273" t="n">
        <f aca="false">SUM(I71:I71)</f>
        <v>127.45</v>
      </c>
      <c r="K72" s="66"/>
    </row>
    <row r="73" customFormat="false" ht="15.75" hidden="false" customHeight="false" outlineLevel="0" collapsed="false">
      <c r="A73" s="17" t="s">
        <v>10</v>
      </c>
      <c r="B73" s="83" t="s">
        <v>84</v>
      </c>
      <c r="C73" s="83"/>
      <c r="D73" s="83"/>
      <c r="E73" s="83"/>
      <c r="F73" s="83"/>
      <c r="G73" s="83"/>
      <c r="H73" s="83"/>
      <c r="I73" s="273" t="n">
        <f aca="false">ROUND(I72*H66,2)</f>
        <v>44.99</v>
      </c>
      <c r="K73" s="66"/>
    </row>
    <row r="74" customFormat="false" ht="15.75" hidden="false" customHeight="false" outlineLevel="0" collapsed="false">
      <c r="A74" s="60" t="s">
        <v>76</v>
      </c>
      <c r="B74" s="60"/>
      <c r="C74" s="60"/>
      <c r="D74" s="60"/>
      <c r="E74" s="60"/>
      <c r="F74" s="60"/>
      <c r="G74" s="60"/>
      <c r="H74" s="60"/>
      <c r="I74" s="275" t="n">
        <f aca="false">SUM(I72:I73)</f>
        <v>172.44</v>
      </c>
      <c r="K74" s="66"/>
    </row>
    <row r="75" customFormat="false" ht="15.75" hidden="false" customHeight="false" outlineLevel="0" collapsed="false">
      <c r="A75" s="79" t="s">
        <v>85</v>
      </c>
      <c r="B75" s="79"/>
      <c r="C75" s="79"/>
      <c r="D75" s="79"/>
      <c r="E75" s="79"/>
      <c r="F75" s="79"/>
      <c r="G75" s="79"/>
      <c r="H75" s="79"/>
      <c r="I75" s="79"/>
    </row>
    <row r="76" customFormat="false" ht="15.75" hidden="false" customHeight="false" outlineLevel="0" collapsed="false">
      <c r="A76" s="62" t="s">
        <v>86</v>
      </c>
      <c r="B76" s="81" t="s">
        <v>87</v>
      </c>
      <c r="C76" s="81"/>
      <c r="D76" s="81"/>
      <c r="E76" s="81"/>
      <c r="F76" s="81"/>
      <c r="G76" s="81"/>
      <c r="H76" s="81"/>
      <c r="I76" s="272" t="s">
        <v>35</v>
      </c>
    </row>
    <row r="77" customFormat="false" ht="15.75" hidden="false" customHeight="false" outlineLevel="0" collapsed="false">
      <c r="A77" s="17" t="s">
        <v>8</v>
      </c>
      <c r="B77" s="52" t="s">
        <v>88</v>
      </c>
      <c r="C77" s="52"/>
      <c r="D77" s="52"/>
      <c r="E77" s="52"/>
      <c r="F77" s="52"/>
      <c r="G77" s="52"/>
      <c r="H77" s="52"/>
      <c r="I77" s="282" t="n">
        <f aca="false">ROUND((((I40+I40/3)*(4/12))/12)*0.02,2)</f>
        <v>1.13</v>
      </c>
    </row>
    <row r="78" customFormat="false" ht="15.75" hidden="false" customHeight="false" outlineLevel="0" collapsed="false">
      <c r="A78" s="17" t="s">
        <v>10</v>
      </c>
      <c r="B78" s="83" t="s">
        <v>89</v>
      </c>
      <c r="C78" s="83"/>
      <c r="D78" s="83"/>
      <c r="E78" s="83"/>
      <c r="F78" s="83"/>
      <c r="G78" s="83"/>
      <c r="H78" s="83"/>
      <c r="I78" s="282" t="n">
        <f aca="false">ROUND(I77*H66,2)</f>
        <v>0.4</v>
      </c>
    </row>
    <row r="79" customFormat="false" ht="15.75" hidden="false" customHeight="false" outlineLevel="0" collapsed="false">
      <c r="A79" s="60" t="s">
        <v>76</v>
      </c>
      <c r="B79" s="60"/>
      <c r="C79" s="60"/>
      <c r="D79" s="60"/>
      <c r="E79" s="60"/>
      <c r="F79" s="60"/>
      <c r="G79" s="60"/>
      <c r="H79" s="60"/>
      <c r="I79" s="275" t="n">
        <f aca="false">SUM(I77:I78)</f>
        <v>1.53</v>
      </c>
    </row>
    <row r="80" customFormat="false" ht="15.75" hidden="false" customHeight="false" outlineLevel="0" collapsed="false">
      <c r="A80" s="79" t="s">
        <v>90</v>
      </c>
      <c r="B80" s="79"/>
      <c r="C80" s="79"/>
      <c r="D80" s="79"/>
      <c r="E80" s="79"/>
      <c r="F80" s="79"/>
      <c r="G80" s="79"/>
      <c r="H80" s="79"/>
      <c r="I80" s="79"/>
    </row>
    <row r="81" customFormat="false" ht="15.75" hidden="false" customHeight="false" outlineLevel="0" collapsed="false">
      <c r="A81" s="62" t="s">
        <v>91</v>
      </c>
      <c r="B81" s="81" t="s">
        <v>92</v>
      </c>
      <c r="C81" s="81"/>
      <c r="D81" s="81"/>
      <c r="E81" s="81"/>
      <c r="F81" s="81"/>
      <c r="G81" s="81"/>
      <c r="H81" s="81"/>
      <c r="I81" s="272" t="s">
        <v>35</v>
      </c>
    </row>
    <row r="82" customFormat="false" ht="25.5" hidden="false" customHeight="true" outlineLevel="0" collapsed="false">
      <c r="A82" s="17" t="s">
        <v>8</v>
      </c>
      <c r="B82" s="99" t="s">
        <v>93</v>
      </c>
      <c r="C82" s="99"/>
      <c r="D82" s="99"/>
      <c r="E82" s="99"/>
      <c r="F82" s="99"/>
      <c r="G82" s="99"/>
      <c r="H82" s="99"/>
      <c r="I82" s="273" t="n">
        <f aca="false">ROUND((I40/12)*(30/30)*0.05,2)</f>
        <v>6.37</v>
      </c>
    </row>
    <row r="83" customFormat="false" ht="15.75" hidden="false" customHeight="true" outlineLevel="0" collapsed="false">
      <c r="A83" s="17" t="s">
        <v>10</v>
      </c>
      <c r="B83" s="83" t="s">
        <v>94</v>
      </c>
      <c r="C83" s="83"/>
      <c r="D83" s="83"/>
      <c r="E83" s="83"/>
      <c r="F83" s="83"/>
      <c r="G83" s="83"/>
      <c r="H83" s="83"/>
      <c r="I83" s="273" t="n">
        <f aca="false">ROUND(I82*H63,2)</f>
        <v>0.51</v>
      </c>
    </row>
    <row r="84" customFormat="false" ht="49.5" hidden="false" customHeight="true" outlineLevel="0" collapsed="false">
      <c r="A84" s="17" t="s">
        <v>12</v>
      </c>
      <c r="B84" s="95" t="s">
        <v>95</v>
      </c>
      <c r="C84" s="95"/>
      <c r="D84" s="95"/>
      <c r="E84" s="95"/>
      <c r="F84" s="95"/>
      <c r="G84" s="95"/>
      <c r="H84" s="95"/>
      <c r="I84" s="285" t="n">
        <f aca="false">ROUND(0.0024*I40,2)</f>
        <v>3.67</v>
      </c>
      <c r="K84" s="66"/>
    </row>
    <row r="85" customFormat="false" ht="30.75" hidden="false" customHeight="true" outlineLevel="0" collapsed="false">
      <c r="A85" s="100" t="s">
        <v>14</v>
      </c>
      <c r="B85" s="99" t="s">
        <v>96</v>
      </c>
      <c r="C85" s="99"/>
      <c r="D85" s="99"/>
      <c r="E85" s="99"/>
      <c r="F85" s="99"/>
      <c r="G85" s="99"/>
      <c r="H85" s="99"/>
      <c r="I85" s="273" t="n">
        <v>0</v>
      </c>
      <c r="N85" s="101"/>
    </row>
    <row r="86" customFormat="false" ht="18" hidden="false" customHeight="true" outlineLevel="0" collapsed="false">
      <c r="A86" s="17" t="s">
        <v>40</v>
      </c>
      <c r="B86" s="83" t="s">
        <v>97</v>
      </c>
      <c r="C86" s="83"/>
      <c r="D86" s="83"/>
      <c r="E86" s="83"/>
      <c r="F86" s="83"/>
      <c r="G86" s="83"/>
      <c r="H86" s="83"/>
      <c r="I86" s="273" t="n">
        <f aca="false">ROUND(I85*H66,2)</f>
        <v>0</v>
      </c>
      <c r="J86" s="13"/>
      <c r="K86" s="13"/>
      <c r="L86" s="102"/>
    </row>
    <row r="87" customFormat="false" ht="48.75" hidden="false" customHeight="true" outlineLevel="0" collapsed="false">
      <c r="A87" s="17" t="s">
        <v>42</v>
      </c>
      <c r="B87" s="95" t="s">
        <v>98</v>
      </c>
      <c r="C87" s="95"/>
      <c r="D87" s="95"/>
      <c r="E87" s="95"/>
      <c r="F87" s="95"/>
      <c r="G87" s="95"/>
      <c r="H87" s="95"/>
      <c r="I87" s="285" t="n">
        <f aca="false">ROUND(0.0476*I40,2)</f>
        <v>72.8</v>
      </c>
      <c r="J87" s="13"/>
      <c r="K87" s="66"/>
      <c r="L87" s="13"/>
    </row>
    <row r="88" customFormat="false" ht="20.25" hidden="false" customHeight="true" outlineLevel="0" collapsed="false">
      <c r="A88" s="60" t="s">
        <v>76</v>
      </c>
      <c r="B88" s="60"/>
      <c r="C88" s="60"/>
      <c r="D88" s="60"/>
      <c r="E88" s="60"/>
      <c r="F88" s="60"/>
      <c r="G88" s="60"/>
      <c r="H88" s="60"/>
      <c r="I88" s="275" t="n">
        <f aca="false">SUM(I82:I87)</f>
        <v>83.35</v>
      </c>
    </row>
    <row r="89" customFormat="false" ht="20.25" hidden="false" customHeight="true" outlineLevel="0" collapsed="false">
      <c r="A89" s="79" t="s">
        <v>99</v>
      </c>
      <c r="B89" s="79"/>
      <c r="C89" s="79"/>
      <c r="D89" s="79"/>
      <c r="E89" s="79"/>
      <c r="F89" s="79"/>
      <c r="G89" s="79"/>
      <c r="H89" s="79"/>
      <c r="I89" s="79"/>
    </row>
    <row r="90" customFormat="false" ht="15.75" hidden="false" customHeight="false" outlineLevel="0" collapsed="false">
      <c r="A90" s="62" t="s">
        <v>100</v>
      </c>
      <c r="B90" s="81" t="s">
        <v>101</v>
      </c>
      <c r="C90" s="81"/>
      <c r="D90" s="81"/>
      <c r="E90" s="81"/>
      <c r="F90" s="81"/>
      <c r="G90" s="81"/>
      <c r="H90" s="81"/>
      <c r="I90" s="272" t="s">
        <v>35</v>
      </c>
    </row>
    <row r="91" customFormat="false" ht="49.5" hidden="false" customHeight="true" outlineLevel="0" collapsed="false">
      <c r="A91" s="17" t="s">
        <v>8</v>
      </c>
      <c r="B91" s="95" t="s">
        <v>102</v>
      </c>
      <c r="C91" s="95"/>
      <c r="D91" s="95"/>
      <c r="E91" s="95"/>
      <c r="F91" s="95"/>
      <c r="G91" s="95"/>
      <c r="H91" s="95"/>
      <c r="I91" s="285" t="n">
        <f aca="false">ROUND(0.121*I40,2)</f>
        <v>185.06</v>
      </c>
      <c r="K91" s="66"/>
    </row>
    <row r="92" customFormat="false" ht="17.25" hidden="false" customHeight="true" outlineLevel="0" collapsed="false">
      <c r="A92" s="17" t="s">
        <v>10</v>
      </c>
      <c r="B92" s="52" t="s">
        <v>103</v>
      </c>
      <c r="C92" s="52"/>
      <c r="D92" s="52"/>
      <c r="E92" s="52"/>
      <c r="F92" s="52"/>
      <c r="G92" s="52"/>
      <c r="H92" s="52"/>
      <c r="I92" s="273" t="n">
        <f aca="false">ROUND(((I40/30)*5)/12,2)</f>
        <v>21.24</v>
      </c>
    </row>
    <row r="93" customFormat="false" ht="16.5" hidden="false" customHeight="true" outlineLevel="0" collapsed="false">
      <c r="A93" s="17" t="s">
        <v>12</v>
      </c>
      <c r="B93" s="52" t="s">
        <v>104</v>
      </c>
      <c r="C93" s="52"/>
      <c r="D93" s="52"/>
      <c r="E93" s="52"/>
      <c r="F93" s="52"/>
      <c r="G93" s="52"/>
      <c r="H93" s="52"/>
      <c r="I93" s="273" t="n">
        <f aca="false">ROUND((((I40/30)*5)/12)*0.015,2)</f>
        <v>0.32</v>
      </c>
    </row>
    <row r="94" customFormat="false" ht="17.25" hidden="false" customHeight="true" outlineLevel="0" collapsed="false">
      <c r="A94" s="17" t="s">
        <v>14</v>
      </c>
      <c r="B94" s="52" t="s">
        <v>105</v>
      </c>
      <c r="C94" s="52"/>
      <c r="D94" s="52"/>
      <c r="E94" s="52"/>
      <c r="F94" s="52"/>
      <c r="G94" s="52"/>
      <c r="H94" s="52"/>
      <c r="I94" s="273" t="n">
        <f aca="false">ROUND(((I40/30)*2.96)/12,2)</f>
        <v>12.58</v>
      </c>
    </row>
    <row r="95" customFormat="false" ht="16.5" hidden="false" customHeight="true" outlineLevel="0" collapsed="false">
      <c r="A95" s="17" t="s">
        <v>40</v>
      </c>
      <c r="B95" s="52" t="s">
        <v>106</v>
      </c>
      <c r="C95" s="52"/>
      <c r="D95" s="52"/>
      <c r="E95" s="52"/>
      <c r="F95" s="52"/>
      <c r="G95" s="52"/>
      <c r="H95" s="52"/>
      <c r="I95" s="273" t="n">
        <f aca="false">ROUND((((I40/30)*15)/12)*0.0078,2)</f>
        <v>0.5</v>
      </c>
    </row>
    <row r="96" customFormat="false" ht="15.75" hidden="false" customHeight="false" outlineLevel="0" collapsed="false">
      <c r="A96" s="97" t="s">
        <v>83</v>
      </c>
      <c r="B96" s="97"/>
      <c r="C96" s="97"/>
      <c r="D96" s="97"/>
      <c r="E96" s="97"/>
      <c r="F96" s="97"/>
      <c r="G96" s="97"/>
      <c r="H96" s="97"/>
      <c r="I96" s="281" t="n">
        <f aca="false">SUM(I91:I95)</f>
        <v>219.7</v>
      </c>
      <c r="K96" s="66"/>
    </row>
    <row r="97" customFormat="false" ht="18" hidden="false" customHeight="true" outlineLevel="0" collapsed="false">
      <c r="A97" s="17" t="s">
        <v>70</v>
      </c>
      <c r="B97" s="83" t="s">
        <v>107</v>
      </c>
      <c r="C97" s="83"/>
      <c r="D97" s="83"/>
      <c r="E97" s="83"/>
      <c r="F97" s="83"/>
      <c r="G97" s="83"/>
      <c r="H97" s="83"/>
      <c r="I97" s="286" t="n">
        <f aca="false">ROUND(I96*H66,2)</f>
        <v>77.55</v>
      </c>
      <c r="K97" s="66"/>
    </row>
    <row r="98" customFormat="false" ht="15.75" hidden="false" customHeight="false" outlineLevel="0" collapsed="false">
      <c r="A98" s="60" t="s">
        <v>76</v>
      </c>
      <c r="B98" s="60"/>
      <c r="C98" s="60"/>
      <c r="D98" s="60"/>
      <c r="E98" s="60"/>
      <c r="F98" s="60"/>
      <c r="G98" s="60"/>
      <c r="H98" s="60"/>
      <c r="I98" s="275" t="n">
        <f aca="false">SUM(I96+I97)</f>
        <v>297.25</v>
      </c>
      <c r="K98" s="66"/>
    </row>
    <row r="99" customFormat="false" ht="15.75" hidden="false" customHeight="false" outlineLevel="0" collapsed="false">
      <c r="A99" s="104" t="s">
        <v>108</v>
      </c>
      <c r="B99" s="104"/>
      <c r="C99" s="104"/>
      <c r="D99" s="104"/>
      <c r="E99" s="104"/>
      <c r="F99" s="104"/>
      <c r="G99" s="104"/>
      <c r="H99" s="104"/>
      <c r="I99" s="104"/>
    </row>
    <row r="100" customFormat="false" ht="15.75" hidden="false" customHeight="false" outlineLevel="0" collapsed="false">
      <c r="A100" s="62" t="n">
        <v>4</v>
      </c>
      <c r="B100" s="81" t="s">
        <v>109</v>
      </c>
      <c r="C100" s="81"/>
      <c r="D100" s="81"/>
      <c r="E100" s="81"/>
      <c r="F100" s="81"/>
      <c r="G100" s="81"/>
      <c r="H100" s="81"/>
      <c r="I100" s="272" t="s">
        <v>35</v>
      </c>
    </row>
    <row r="101" customFormat="false" ht="15.75" hidden="false" customHeight="false" outlineLevel="0" collapsed="false">
      <c r="A101" s="17" t="s">
        <v>61</v>
      </c>
      <c r="B101" s="83" t="s">
        <v>62</v>
      </c>
      <c r="C101" s="83"/>
      <c r="D101" s="83"/>
      <c r="E101" s="83"/>
      <c r="F101" s="83"/>
      <c r="G101" s="83"/>
      <c r="H101" s="83"/>
      <c r="I101" s="282" t="n">
        <f aca="false">I66</f>
        <v>473.93</v>
      </c>
    </row>
    <row r="102" customFormat="false" ht="15.75" hidden="false" customHeight="false" outlineLevel="0" collapsed="false">
      <c r="A102" s="17" t="s">
        <v>80</v>
      </c>
      <c r="B102" s="83" t="s">
        <v>110</v>
      </c>
      <c r="C102" s="83"/>
      <c r="D102" s="83"/>
      <c r="E102" s="83"/>
      <c r="F102" s="83"/>
      <c r="G102" s="83"/>
      <c r="H102" s="83"/>
      <c r="I102" s="282" t="n">
        <f aca="false">I74</f>
        <v>172.44</v>
      </c>
    </row>
    <row r="103" customFormat="false" ht="15.75" hidden="false" customHeight="false" outlineLevel="0" collapsed="false">
      <c r="A103" s="17" t="s">
        <v>86</v>
      </c>
      <c r="B103" s="83" t="s">
        <v>87</v>
      </c>
      <c r="C103" s="83"/>
      <c r="D103" s="83"/>
      <c r="E103" s="83"/>
      <c r="F103" s="83"/>
      <c r="G103" s="83"/>
      <c r="H103" s="83"/>
      <c r="I103" s="282" t="n">
        <f aca="false">I79</f>
        <v>1.53</v>
      </c>
    </row>
    <row r="104" customFormat="false" ht="15.75" hidden="false" customHeight="false" outlineLevel="0" collapsed="false">
      <c r="A104" s="17" t="s">
        <v>91</v>
      </c>
      <c r="B104" s="83" t="s">
        <v>111</v>
      </c>
      <c r="C104" s="83"/>
      <c r="D104" s="83"/>
      <c r="E104" s="83"/>
      <c r="F104" s="83"/>
      <c r="G104" s="83"/>
      <c r="H104" s="83"/>
      <c r="I104" s="282" t="n">
        <f aca="false">I88</f>
        <v>83.35</v>
      </c>
    </row>
    <row r="105" customFormat="false" ht="15.75" hidden="false" customHeight="false" outlineLevel="0" collapsed="false">
      <c r="A105" s="17" t="s">
        <v>100</v>
      </c>
      <c r="B105" s="83" t="s">
        <v>112</v>
      </c>
      <c r="C105" s="83"/>
      <c r="D105" s="83"/>
      <c r="E105" s="83"/>
      <c r="F105" s="83"/>
      <c r="G105" s="83"/>
      <c r="H105" s="83"/>
      <c r="I105" s="282" t="n">
        <f aca="false">I98</f>
        <v>297.25</v>
      </c>
    </row>
    <row r="106" customFormat="false" ht="20.25" hidden="false" customHeight="true" outlineLevel="0" collapsed="false">
      <c r="A106" s="60" t="s">
        <v>76</v>
      </c>
      <c r="B106" s="60"/>
      <c r="C106" s="60"/>
      <c r="D106" s="60"/>
      <c r="E106" s="60"/>
      <c r="F106" s="60"/>
      <c r="G106" s="60"/>
      <c r="H106" s="60"/>
      <c r="I106" s="275" t="n">
        <f aca="false">SUM(I101:I105)</f>
        <v>1028.5</v>
      </c>
      <c r="K106" s="106"/>
    </row>
    <row r="107" customFormat="false" ht="21" hidden="false" customHeight="true" outlineLevel="0" collapsed="false">
      <c r="A107" s="107" t="s">
        <v>113</v>
      </c>
      <c r="B107" s="107"/>
      <c r="C107" s="107"/>
      <c r="D107" s="107"/>
      <c r="E107" s="107"/>
      <c r="F107" s="107"/>
      <c r="G107" s="107"/>
      <c r="H107" s="107"/>
      <c r="I107" s="107"/>
    </row>
    <row r="108" customFormat="false" ht="15.75" hidden="false" customHeight="false" outlineLevel="0" collapsed="false">
      <c r="A108" s="62" t="n">
        <v>5</v>
      </c>
      <c r="B108" s="63" t="s">
        <v>114</v>
      </c>
      <c r="C108" s="63"/>
      <c r="D108" s="63"/>
      <c r="E108" s="63"/>
      <c r="F108" s="63"/>
      <c r="G108" s="63"/>
      <c r="H108" s="108" t="s">
        <v>63</v>
      </c>
      <c r="I108" s="272" t="s">
        <v>35</v>
      </c>
    </row>
    <row r="109" customFormat="false" ht="47.25" hidden="false" customHeight="true" outlineLevel="0" collapsed="false">
      <c r="A109" s="109" t="s">
        <v>115</v>
      </c>
      <c r="B109" s="109"/>
      <c r="C109" s="109"/>
      <c r="D109" s="109"/>
      <c r="E109" s="109"/>
      <c r="F109" s="109"/>
      <c r="G109" s="109"/>
      <c r="H109" s="110" t="n">
        <v>0</v>
      </c>
      <c r="I109" s="287" t="n">
        <f aca="false">(I40+I49+I54+I106)</f>
        <v>3075.644125</v>
      </c>
    </row>
    <row r="110" customFormat="false" ht="15.75" hidden="false" customHeight="false" outlineLevel="0" collapsed="false">
      <c r="A110" s="17" t="s">
        <v>8</v>
      </c>
      <c r="B110" s="83" t="s">
        <v>116</v>
      </c>
      <c r="C110" s="83"/>
      <c r="D110" s="83"/>
      <c r="E110" s="83"/>
      <c r="F110" s="83"/>
      <c r="G110" s="83"/>
      <c r="H110" s="112" t="n">
        <f aca="false">'Alegrete 1.1'!H110</f>
        <v>0.1207</v>
      </c>
      <c r="I110" s="273" t="n">
        <f aca="false">ROUND(I109*H110,2)</f>
        <v>371.23</v>
      </c>
      <c r="J110" s="113"/>
    </row>
    <row r="111" customFormat="false" ht="50.25" hidden="false" customHeight="true" outlineLevel="0" collapsed="false">
      <c r="A111" s="109" t="s">
        <v>117</v>
      </c>
      <c r="B111" s="109"/>
      <c r="C111" s="109"/>
      <c r="D111" s="109"/>
      <c r="E111" s="109"/>
      <c r="F111" s="109"/>
      <c r="G111" s="109"/>
      <c r="H111" s="114" t="n">
        <v>0</v>
      </c>
      <c r="I111" s="288" t="n">
        <f aca="false">I109+I110</f>
        <v>3446.874125</v>
      </c>
      <c r="J111" s="113"/>
    </row>
    <row r="112" customFormat="false" ht="15.75" hidden="false" customHeight="false" outlineLevel="0" collapsed="false">
      <c r="A112" s="17" t="s">
        <v>10</v>
      </c>
      <c r="B112" s="83" t="s">
        <v>118</v>
      </c>
      <c r="C112" s="83"/>
      <c r="D112" s="83"/>
      <c r="E112" s="83"/>
      <c r="F112" s="83"/>
      <c r="G112" s="83"/>
      <c r="H112" s="112" t="n">
        <f aca="false">'Alegrete 1.1'!H112</f>
        <v>0.0818</v>
      </c>
      <c r="I112" s="273" t="n">
        <f aca="false">ROUND(I111*H112,2)</f>
        <v>281.95</v>
      </c>
      <c r="J112" s="116"/>
    </row>
    <row r="113" customFormat="false" ht="51" hidden="false" customHeight="true" outlineLevel="0" collapsed="false">
      <c r="A113" s="109" t="s">
        <v>119</v>
      </c>
      <c r="B113" s="109"/>
      <c r="C113" s="109"/>
      <c r="D113" s="109"/>
      <c r="E113" s="109"/>
      <c r="F113" s="109"/>
      <c r="G113" s="109"/>
      <c r="H113" s="117" t="n">
        <v>0</v>
      </c>
      <c r="I113" s="289" t="n">
        <f aca="false">I111+I112</f>
        <v>3728.824125</v>
      </c>
      <c r="J113" s="116"/>
    </row>
    <row r="114" customFormat="false" ht="15.75" hidden="false" customHeight="false" outlineLevel="0" collapsed="false">
      <c r="A114" s="17" t="s">
        <v>12</v>
      </c>
      <c r="B114" s="83" t="s">
        <v>120</v>
      </c>
      <c r="C114" s="83"/>
      <c r="D114" s="83"/>
      <c r="E114" s="83"/>
      <c r="F114" s="83"/>
      <c r="G114" s="83"/>
      <c r="H114" s="119" t="s">
        <v>198</v>
      </c>
      <c r="I114" s="290" t="s">
        <v>198</v>
      </c>
      <c r="J114" s="116"/>
    </row>
    <row r="115" customFormat="false" ht="15.75" hidden="false" customHeight="false" outlineLevel="0" collapsed="false">
      <c r="A115" s="17"/>
      <c r="B115" s="83" t="s">
        <v>121</v>
      </c>
      <c r="C115" s="83"/>
      <c r="D115" s="83"/>
      <c r="E115" s="83"/>
      <c r="F115" s="83"/>
      <c r="G115" s="83"/>
      <c r="H115" s="119" t="s">
        <v>198</v>
      </c>
      <c r="I115" s="290" t="s">
        <v>198</v>
      </c>
    </row>
    <row r="116" customFormat="false" ht="30.75" hidden="false" customHeight="true" outlineLevel="0" collapsed="false">
      <c r="A116" s="17"/>
      <c r="B116" s="67" t="s">
        <v>199</v>
      </c>
      <c r="C116" s="67"/>
      <c r="D116" s="67"/>
      <c r="E116" s="67"/>
      <c r="F116" s="67"/>
      <c r="G116" s="67"/>
      <c r="H116" s="121" t="n">
        <v>0.03</v>
      </c>
      <c r="I116" s="273" t="n">
        <f aca="false">ROUND(($I$113/(1-H123))*H116,2)</f>
        <v>122.46</v>
      </c>
    </row>
    <row r="117" customFormat="false" ht="24" hidden="false" customHeight="true" outlineLevel="0" collapsed="false">
      <c r="A117" s="17"/>
      <c r="B117" s="67" t="s">
        <v>200</v>
      </c>
      <c r="C117" s="67"/>
      <c r="D117" s="67"/>
      <c r="E117" s="67"/>
      <c r="F117" s="67"/>
      <c r="G117" s="67"/>
      <c r="H117" s="121" t="n">
        <v>0.0065</v>
      </c>
      <c r="I117" s="273" t="n">
        <f aca="false">ROUND(($I$113/(1-H123))*H117,2)</f>
        <v>26.53</v>
      </c>
      <c r="K117" s="66"/>
    </row>
    <row r="118" customFormat="false" ht="31.5" hidden="false" customHeight="true" outlineLevel="0" collapsed="false">
      <c r="A118" s="17"/>
      <c r="B118" s="122" t="s">
        <v>124</v>
      </c>
      <c r="C118" s="122"/>
      <c r="D118" s="122"/>
      <c r="E118" s="122"/>
      <c r="F118" s="122"/>
      <c r="G118" s="122"/>
      <c r="H118" s="121" t="s">
        <v>198</v>
      </c>
      <c r="I118" s="290" t="s">
        <v>198</v>
      </c>
      <c r="K118" s="66"/>
    </row>
    <row r="119" customFormat="false" ht="15.75" hidden="false" customHeight="false" outlineLevel="0" collapsed="false">
      <c r="A119" s="17"/>
      <c r="B119" s="83" t="s">
        <v>125</v>
      </c>
      <c r="C119" s="83"/>
      <c r="D119" s="83"/>
      <c r="E119" s="83"/>
      <c r="F119" s="83"/>
      <c r="G119" s="83"/>
      <c r="H119" s="119" t="s">
        <v>198</v>
      </c>
      <c r="I119" s="290" t="s">
        <v>198</v>
      </c>
    </row>
    <row r="120" customFormat="false" ht="15.75" hidden="false" customHeight="false" outlineLevel="0" collapsed="false">
      <c r="A120" s="17"/>
      <c r="B120" s="83" t="s">
        <v>126</v>
      </c>
      <c r="C120" s="83"/>
      <c r="D120" s="83"/>
      <c r="E120" s="83"/>
      <c r="F120" s="83"/>
      <c r="G120" s="83"/>
      <c r="H120" s="119" t="s">
        <v>198</v>
      </c>
      <c r="I120" s="290" t="s">
        <v>198</v>
      </c>
      <c r="K120" s="66"/>
    </row>
    <row r="121" customFormat="false" ht="15.75" hidden="false" customHeight="false" outlineLevel="0" collapsed="false">
      <c r="A121" s="17"/>
      <c r="B121" s="52" t="s">
        <v>230</v>
      </c>
      <c r="C121" s="52"/>
      <c r="D121" s="52"/>
      <c r="E121" s="52"/>
      <c r="F121" s="52"/>
      <c r="G121" s="52"/>
      <c r="H121" s="124" t="n">
        <v>0.05</v>
      </c>
      <c r="I121" s="273" t="n">
        <f aca="false">ROUND(($I$113/(1-H123))*H121,2)</f>
        <v>204.1</v>
      </c>
    </row>
    <row r="122" customFormat="false" ht="15.75" hidden="false" customHeight="false" outlineLevel="0" collapsed="false">
      <c r="A122" s="125" t="s">
        <v>76</v>
      </c>
      <c r="B122" s="125"/>
      <c r="C122" s="125"/>
      <c r="D122" s="125"/>
      <c r="E122" s="125"/>
      <c r="F122" s="125"/>
      <c r="G122" s="125"/>
      <c r="H122" s="125"/>
      <c r="I122" s="291" t="n">
        <f aca="false">I110+I112+I116+I117+I121</f>
        <v>1006.27</v>
      </c>
    </row>
    <row r="123" customFormat="false" ht="15.75" hidden="false" customHeight="false" outlineLevel="0" collapsed="false">
      <c r="A123" s="127" t="s">
        <v>128</v>
      </c>
      <c r="B123" s="127"/>
      <c r="C123" s="127"/>
      <c r="D123" s="127"/>
      <c r="E123" s="127"/>
      <c r="F123" s="127"/>
      <c r="G123" s="127"/>
      <c r="H123" s="128" t="n">
        <f aca="false">SUM(H116:H121)</f>
        <v>0.0865</v>
      </c>
      <c r="I123" s="292" t="n">
        <f aca="false">SUM(I116+I117+I121)</f>
        <v>353.09</v>
      </c>
    </row>
    <row r="124" customFormat="false" ht="15.75" hidden="false" customHeight="false" outlineLevel="0" collapsed="false">
      <c r="A124" s="130" t="s">
        <v>129</v>
      </c>
      <c r="B124" s="130"/>
      <c r="C124" s="293" t="s">
        <v>130</v>
      </c>
      <c r="D124" s="293"/>
      <c r="E124" s="293"/>
      <c r="F124" s="293"/>
      <c r="G124" s="293"/>
      <c r="H124" s="293"/>
      <c r="I124" s="293"/>
    </row>
    <row r="125" customFormat="false" ht="15" hidden="false" customHeight="false" outlineLevel="0" collapsed="false">
      <c r="A125" s="130"/>
      <c r="B125" s="130"/>
      <c r="C125" s="294" t="s">
        <v>131</v>
      </c>
      <c r="D125" s="294"/>
      <c r="E125" s="294"/>
      <c r="F125" s="294"/>
      <c r="G125" s="294"/>
      <c r="H125" s="294"/>
      <c r="I125" s="294"/>
    </row>
    <row r="126" customFormat="false" ht="15.75" hidden="false" customHeight="false" outlineLevel="0" collapsed="false">
      <c r="A126" s="133" t="s">
        <v>132</v>
      </c>
      <c r="B126" s="133"/>
      <c r="C126" s="133"/>
      <c r="D126" s="133"/>
      <c r="E126" s="133"/>
      <c r="F126" s="133"/>
      <c r="G126" s="133"/>
      <c r="H126" s="133"/>
      <c r="I126" s="133"/>
    </row>
    <row r="127" customFormat="false" ht="15.75" hidden="false" customHeight="false" outlineLevel="0" collapsed="false">
      <c r="A127" s="94" t="s">
        <v>133</v>
      </c>
      <c r="B127" s="94"/>
      <c r="C127" s="94"/>
      <c r="D127" s="94"/>
      <c r="E127" s="94"/>
      <c r="F127" s="94"/>
      <c r="G127" s="94"/>
      <c r="H127" s="94"/>
      <c r="I127" s="94"/>
    </row>
    <row r="128" customFormat="false" ht="15.75" hidden="false" customHeight="false" outlineLevel="0" collapsed="false">
      <c r="A128" s="295"/>
      <c r="B128" s="295"/>
      <c r="C128" s="295"/>
      <c r="D128" s="295"/>
      <c r="E128" s="295"/>
      <c r="F128" s="295"/>
      <c r="G128" s="295"/>
      <c r="H128" s="295"/>
      <c r="I128" s="295"/>
    </row>
    <row r="129" customFormat="false" ht="15.75" hidden="false" customHeight="false" outlineLevel="0" collapsed="false">
      <c r="A129" s="33" t="s">
        <v>134</v>
      </c>
      <c r="B129" s="33"/>
      <c r="C129" s="33"/>
      <c r="D129" s="33"/>
      <c r="E129" s="33"/>
      <c r="F129" s="33"/>
      <c r="G129" s="33"/>
      <c r="H129" s="33"/>
      <c r="I129" s="33"/>
    </row>
    <row r="130" customFormat="false" ht="15.75" hidden="false" customHeight="false" outlineLevel="0" collapsed="false">
      <c r="A130" s="135" t="s">
        <v>135</v>
      </c>
      <c r="B130" s="135"/>
      <c r="C130" s="135"/>
      <c r="D130" s="135"/>
      <c r="E130" s="135"/>
      <c r="F130" s="135"/>
      <c r="G130" s="135"/>
      <c r="H130" s="135"/>
      <c r="I130" s="135"/>
    </row>
    <row r="131" customFormat="false" ht="15.75" hidden="false" customHeight="false" outlineLevel="0" collapsed="false">
      <c r="A131" s="136" t="s">
        <v>136</v>
      </c>
      <c r="B131" s="136"/>
      <c r="C131" s="136"/>
      <c r="D131" s="136"/>
      <c r="E131" s="136"/>
      <c r="F131" s="136"/>
      <c r="G131" s="136"/>
      <c r="H131" s="136"/>
      <c r="I131" s="296" t="s">
        <v>35</v>
      </c>
    </row>
    <row r="132" customFormat="false" ht="15.75" hidden="false" customHeight="false" outlineLevel="0" collapsed="false">
      <c r="A132" s="14" t="s">
        <v>8</v>
      </c>
      <c r="B132" s="15" t="s">
        <v>137</v>
      </c>
      <c r="C132" s="15"/>
      <c r="D132" s="15"/>
      <c r="E132" s="15"/>
      <c r="F132" s="15"/>
      <c r="G132" s="15"/>
      <c r="H132" s="15"/>
      <c r="I132" s="297" t="n">
        <f aca="false">I40</f>
        <v>1529.426</v>
      </c>
    </row>
    <row r="133" customFormat="false" ht="15.75" hidden="false" customHeight="false" outlineLevel="0" collapsed="false">
      <c r="A133" s="14" t="s">
        <v>10</v>
      </c>
      <c r="B133" s="15" t="s">
        <v>138</v>
      </c>
      <c r="C133" s="15"/>
      <c r="D133" s="15"/>
      <c r="E133" s="15"/>
      <c r="F133" s="15"/>
      <c r="G133" s="15"/>
      <c r="H133" s="15"/>
      <c r="I133" s="297" t="n">
        <f aca="false">I49</f>
        <v>448.88</v>
      </c>
    </row>
    <row r="134" customFormat="false" ht="15.75" hidden="false" customHeight="false" outlineLevel="0" collapsed="false">
      <c r="A134" s="14" t="s">
        <v>12</v>
      </c>
      <c r="B134" s="15" t="s">
        <v>139</v>
      </c>
      <c r="C134" s="15"/>
      <c r="D134" s="15"/>
      <c r="E134" s="15"/>
      <c r="F134" s="15"/>
      <c r="G134" s="15"/>
      <c r="H134" s="15"/>
      <c r="I134" s="298" t="n">
        <f aca="false">I54</f>
        <v>68.838125</v>
      </c>
    </row>
    <row r="135" customFormat="false" ht="15.75" hidden="false" customHeight="false" outlineLevel="0" collapsed="false">
      <c r="A135" s="14" t="s">
        <v>14</v>
      </c>
      <c r="B135" s="15" t="s">
        <v>109</v>
      </c>
      <c r="C135" s="15"/>
      <c r="D135" s="15"/>
      <c r="E135" s="15"/>
      <c r="F135" s="15"/>
      <c r="G135" s="15"/>
      <c r="H135" s="15"/>
      <c r="I135" s="297" t="n">
        <f aca="false">I106</f>
        <v>1028.5</v>
      </c>
    </row>
    <row r="136" customFormat="false" ht="15.75" hidden="false" customHeight="false" outlineLevel="0" collapsed="false">
      <c r="A136" s="140" t="s">
        <v>140</v>
      </c>
      <c r="B136" s="140"/>
      <c r="C136" s="140"/>
      <c r="D136" s="140"/>
      <c r="E136" s="140"/>
      <c r="F136" s="140"/>
      <c r="G136" s="140"/>
      <c r="H136" s="140"/>
      <c r="I136" s="299" t="n">
        <f aca="false">SUM(I132:I135)</f>
        <v>3075.644125</v>
      </c>
    </row>
    <row r="137" customFormat="false" ht="15.75" hidden="false" customHeight="false" outlineLevel="0" collapsed="false">
      <c r="A137" s="14" t="s">
        <v>40</v>
      </c>
      <c r="B137" s="15" t="s">
        <v>141</v>
      </c>
      <c r="C137" s="15"/>
      <c r="D137" s="15"/>
      <c r="E137" s="15"/>
      <c r="F137" s="15"/>
      <c r="G137" s="15"/>
      <c r="H137" s="15"/>
      <c r="I137" s="297" t="n">
        <f aca="false">I122</f>
        <v>1006.27</v>
      </c>
    </row>
    <row r="138" customFormat="false" ht="15.75" hidden="false" customHeight="false" outlineLevel="0" collapsed="false">
      <c r="A138" s="143" t="s">
        <v>142</v>
      </c>
      <c r="B138" s="143"/>
      <c r="C138" s="143"/>
      <c r="D138" s="143"/>
      <c r="E138" s="143"/>
      <c r="F138" s="143"/>
      <c r="G138" s="143"/>
      <c r="H138" s="143"/>
      <c r="I138" s="300" t="n">
        <f aca="false">SUM(I136+I137)</f>
        <v>4081.914125</v>
      </c>
    </row>
    <row r="139" customFormat="false" ht="15.75" hidden="false" customHeight="false" outlineLevel="0" collapsed="false">
      <c r="A139" s="301"/>
      <c r="B139" s="301"/>
      <c r="C139" s="301"/>
      <c r="D139" s="301"/>
      <c r="E139" s="301"/>
      <c r="F139" s="301"/>
      <c r="G139" s="301"/>
      <c r="H139" s="301"/>
      <c r="I139" s="301"/>
    </row>
    <row r="140" customFormat="false" ht="15.75" hidden="false" customHeight="false" outlineLevel="0" collapsed="false">
      <c r="A140" s="33" t="s">
        <v>143</v>
      </c>
      <c r="B140" s="33"/>
      <c r="C140" s="33"/>
      <c r="D140" s="33"/>
      <c r="E140" s="33"/>
      <c r="F140" s="33"/>
      <c r="G140" s="33"/>
      <c r="H140" s="33"/>
      <c r="I140" s="33"/>
    </row>
    <row r="141" customFormat="false" ht="15.75" hidden="false" customHeight="false" outlineLevel="0" collapsed="false">
      <c r="A141" s="146" t="s">
        <v>144</v>
      </c>
      <c r="B141" s="146"/>
      <c r="C141" s="146"/>
      <c r="D141" s="146"/>
      <c r="E141" s="146"/>
      <c r="F141" s="146"/>
      <c r="G141" s="146"/>
      <c r="H141" s="146"/>
      <c r="I141" s="146"/>
    </row>
    <row r="142" customFormat="false" ht="63" hidden="false" customHeight="true" outlineLevel="0" collapsed="false">
      <c r="A142" s="147" t="s">
        <v>145</v>
      </c>
      <c r="B142" s="147"/>
      <c r="C142" s="148" t="s">
        <v>146</v>
      </c>
      <c r="D142" s="148"/>
      <c r="E142" s="149" t="s">
        <v>147</v>
      </c>
      <c r="F142" s="148" t="s">
        <v>148</v>
      </c>
      <c r="G142" s="148"/>
      <c r="H142" s="148" t="s">
        <v>149</v>
      </c>
      <c r="I142" s="302" t="s">
        <v>150</v>
      </c>
    </row>
    <row r="143" customFormat="false" ht="22.5" hidden="false" customHeight="true" outlineLevel="0" collapsed="false">
      <c r="A143" s="151" t="s">
        <v>26</v>
      </c>
      <c r="B143" s="151"/>
      <c r="C143" s="152" t="n">
        <f aca="false">I138</f>
        <v>4081.914125</v>
      </c>
      <c r="D143" s="152"/>
      <c r="E143" s="153" t="n">
        <v>1</v>
      </c>
      <c r="F143" s="154" t="n">
        <f aca="false">C143</f>
        <v>4081.914125</v>
      </c>
      <c r="G143" s="154"/>
      <c r="H143" s="155" t="n">
        <v>1</v>
      </c>
      <c r="I143" s="303" t="n">
        <f aca="false">F143*H143</f>
        <v>4081.914125</v>
      </c>
    </row>
    <row r="144" customFormat="false" ht="15.75" hidden="false" customHeight="false" outlineLevel="0" collapsed="false">
      <c r="A144" s="301"/>
      <c r="B144" s="301"/>
      <c r="C144" s="301"/>
      <c r="D144" s="301"/>
      <c r="E144" s="301"/>
      <c r="F144" s="301"/>
      <c r="G144" s="301"/>
      <c r="H144" s="301"/>
      <c r="I144" s="301"/>
    </row>
    <row r="145" customFormat="false" ht="15.75" hidden="false" customHeight="false" outlineLevel="0" collapsed="false">
      <c r="A145" s="33" t="s">
        <v>151</v>
      </c>
      <c r="B145" s="33"/>
      <c r="C145" s="33"/>
      <c r="D145" s="33"/>
      <c r="E145" s="33"/>
      <c r="F145" s="33"/>
      <c r="G145" s="33"/>
      <c r="H145" s="33"/>
      <c r="I145" s="33"/>
    </row>
    <row r="146" customFormat="false" ht="15.75" hidden="false" customHeight="false" outlineLevel="0" collapsed="false">
      <c r="A146" s="146" t="s">
        <v>152</v>
      </c>
      <c r="B146" s="146"/>
      <c r="C146" s="146"/>
      <c r="D146" s="146"/>
      <c r="E146" s="146"/>
      <c r="F146" s="146"/>
      <c r="G146" s="146"/>
      <c r="H146" s="146"/>
      <c r="I146" s="146"/>
    </row>
    <row r="147" customFormat="false" ht="15.75" hidden="false" customHeight="false" outlineLevel="0" collapsed="false">
      <c r="A147" s="157" t="s">
        <v>153</v>
      </c>
      <c r="B147" s="157"/>
      <c r="C147" s="157"/>
      <c r="D147" s="157"/>
      <c r="E147" s="157"/>
      <c r="F147" s="157"/>
      <c r="G147" s="157"/>
      <c r="H147" s="157"/>
      <c r="I147" s="157"/>
    </row>
    <row r="148" customFormat="false" ht="15.75" hidden="false" customHeight="false" outlineLevel="0" collapsed="false">
      <c r="A148" s="158" t="s">
        <v>8</v>
      </c>
      <c r="B148" s="15" t="s">
        <v>154</v>
      </c>
      <c r="C148" s="15"/>
      <c r="D148" s="15"/>
      <c r="E148" s="15"/>
      <c r="F148" s="15"/>
      <c r="G148" s="15"/>
      <c r="H148" s="15"/>
      <c r="I148" s="304" t="n">
        <f aca="false">F143</f>
        <v>4081.914125</v>
      </c>
    </row>
    <row r="149" customFormat="false" ht="15.75" hidden="false" customHeight="false" outlineLevel="0" collapsed="false">
      <c r="A149" s="158" t="s">
        <v>10</v>
      </c>
      <c r="B149" s="15" t="s">
        <v>155</v>
      </c>
      <c r="C149" s="15"/>
      <c r="D149" s="15"/>
      <c r="E149" s="15"/>
      <c r="F149" s="15"/>
      <c r="G149" s="15"/>
      <c r="H149" s="15"/>
      <c r="I149" s="305" t="n">
        <f aca="false">I143</f>
        <v>4081.914125</v>
      </c>
    </row>
    <row r="150" customFormat="false" ht="17.25" hidden="false" customHeight="true" outlineLevel="0" collapsed="false">
      <c r="A150" s="161" t="s">
        <v>12</v>
      </c>
      <c r="B150" s="162" t="s">
        <v>156</v>
      </c>
      <c r="C150" s="162"/>
      <c r="D150" s="162"/>
      <c r="E150" s="162"/>
      <c r="F150" s="162"/>
      <c r="G150" s="162"/>
      <c r="H150" s="162"/>
      <c r="I150" s="306" t="n">
        <f aca="false">I149*12</f>
        <v>48982.9695</v>
      </c>
    </row>
  </sheetData>
  <mergeCells count="155">
    <mergeCell ref="A8:I8"/>
    <mergeCell ref="A9:I9"/>
    <mergeCell ref="A10:I10"/>
    <mergeCell ref="A11:I11"/>
    <mergeCell ref="A12:I12"/>
    <mergeCell ref="A13:I13"/>
    <mergeCell ref="A14:I14"/>
    <mergeCell ref="B15:H15"/>
    <mergeCell ref="B16:H16"/>
    <mergeCell ref="B17:H17"/>
    <mergeCell ref="B18:H18"/>
    <mergeCell ref="A19:I19"/>
    <mergeCell ref="A20:D20"/>
    <mergeCell ref="E20:F20"/>
    <mergeCell ref="G20:I20"/>
    <mergeCell ref="A21:D21"/>
    <mergeCell ref="E21:F22"/>
    <mergeCell ref="G21:I22"/>
    <mergeCell ref="A22:D22"/>
    <mergeCell ref="B23:I23"/>
    <mergeCell ref="A24:I24"/>
    <mergeCell ref="A25:I25"/>
    <mergeCell ref="A26:I26"/>
    <mergeCell ref="B27:H27"/>
    <mergeCell ref="B28:H28"/>
    <mergeCell ref="B29:H29"/>
    <mergeCell ref="B30:H30"/>
    <mergeCell ref="B31:H31"/>
    <mergeCell ref="B32:H32"/>
    <mergeCell ref="B33:H33"/>
    <mergeCell ref="A34:I34"/>
    <mergeCell ref="A35:I35"/>
    <mergeCell ref="B36:H36"/>
    <mergeCell ref="B37:H37"/>
    <mergeCell ref="B38:H38"/>
    <mergeCell ref="B39:H39"/>
    <mergeCell ref="A40:H40"/>
    <mergeCell ref="A41:I41"/>
    <mergeCell ref="B42:H42"/>
    <mergeCell ref="A43:A45"/>
    <mergeCell ref="B43:H43"/>
    <mergeCell ref="B44:G44"/>
    <mergeCell ref="B45:G45"/>
    <mergeCell ref="A46:A47"/>
    <mergeCell ref="B46:H46"/>
    <mergeCell ref="B47:G47"/>
    <mergeCell ref="B48:H48"/>
    <mergeCell ref="A49:H49"/>
    <mergeCell ref="A50:I50"/>
    <mergeCell ref="A51:I51"/>
    <mergeCell ref="B52:H52"/>
    <mergeCell ref="B53:H53"/>
    <mergeCell ref="A54:H54"/>
    <mergeCell ref="A55:I55"/>
    <mergeCell ref="A56:I56"/>
    <mergeCell ref="B57:G57"/>
    <mergeCell ref="B58:G58"/>
    <mergeCell ref="B59:G59"/>
    <mergeCell ref="B60:G60"/>
    <mergeCell ref="B61:G61"/>
    <mergeCell ref="B62:G62"/>
    <mergeCell ref="B63:G63"/>
    <mergeCell ref="B64:E64"/>
    <mergeCell ref="B65:G65"/>
    <mergeCell ref="A66:G66"/>
    <mergeCell ref="A67:I67"/>
    <mergeCell ref="A68:I68"/>
    <mergeCell ref="A69:I69"/>
    <mergeCell ref="B70:H70"/>
    <mergeCell ref="B71:H71"/>
    <mergeCell ref="A72:H72"/>
    <mergeCell ref="B73:H73"/>
    <mergeCell ref="A74:H74"/>
    <mergeCell ref="A75:I75"/>
    <mergeCell ref="B76:H76"/>
    <mergeCell ref="B77:H77"/>
    <mergeCell ref="B78:H78"/>
    <mergeCell ref="A79:H79"/>
    <mergeCell ref="A80:I80"/>
    <mergeCell ref="B81:H81"/>
    <mergeCell ref="B82:H82"/>
    <mergeCell ref="B83:H83"/>
    <mergeCell ref="B84:H84"/>
    <mergeCell ref="B85:H85"/>
    <mergeCell ref="B86:H86"/>
    <mergeCell ref="B87:H87"/>
    <mergeCell ref="A88:H88"/>
    <mergeCell ref="A89:I89"/>
    <mergeCell ref="B90:H90"/>
    <mergeCell ref="B91:H91"/>
    <mergeCell ref="B92:H92"/>
    <mergeCell ref="B93:H93"/>
    <mergeCell ref="B94:H94"/>
    <mergeCell ref="B95:H95"/>
    <mergeCell ref="A96:H96"/>
    <mergeCell ref="B97:H97"/>
    <mergeCell ref="A98:H98"/>
    <mergeCell ref="A99:I99"/>
    <mergeCell ref="B100:H100"/>
    <mergeCell ref="B101:H101"/>
    <mergeCell ref="B102:H102"/>
    <mergeCell ref="B103:H103"/>
    <mergeCell ref="B104:H104"/>
    <mergeCell ref="B105:H105"/>
    <mergeCell ref="A106:H106"/>
    <mergeCell ref="A107:I107"/>
    <mergeCell ref="B108:G108"/>
    <mergeCell ref="A109:G109"/>
    <mergeCell ref="B110:G110"/>
    <mergeCell ref="A111:G111"/>
    <mergeCell ref="B112:G112"/>
    <mergeCell ref="A113:G113"/>
    <mergeCell ref="A114:A121"/>
    <mergeCell ref="B114:G114"/>
    <mergeCell ref="B115:G115"/>
    <mergeCell ref="B116:G116"/>
    <mergeCell ref="B117:G117"/>
    <mergeCell ref="B118:G118"/>
    <mergeCell ref="B119:G119"/>
    <mergeCell ref="B120:G120"/>
    <mergeCell ref="B121:G121"/>
    <mergeCell ref="A122:H122"/>
    <mergeCell ref="A123:G123"/>
    <mergeCell ref="A124:B125"/>
    <mergeCell ref="C124:I124"/>
    <mergeCell ref="C125:I125"/>
    <mergeCell ref="A126:I126"/>
    <mergeCell ref="A127:I127"/>
    <mergeCell ref="A128:I128"/>
    <mergeCell ref="A129:I129"/>
    <mergeCell ref="A130:I130"/>
    <mergeCell ref="A131:H131"/>
    <mergeCell ref="B132:H132"/>
    <mergeCell ref="B133:H133"/>
    <mergeCell ref="B134:H134"/>
    <mergeCell ref="B135:H135"/>
    <mergeCell ref="A136:H136"/>
    <mergeCell ref="B137:H137"/>
    <mergeCell ref="A138:H138"/>
    <mergeCell ref="A139:I139"/>
    <mergeCell ref="A140:I140"/>
    <mergeCell ref="A141:I141"/>
    <mergeCell ref="A142:B142"/>
    <mergeCell ref="C142:D142"/>
    <mergeCell ref="F142:G142"/>
    <mergeCell ref="A143:B143"/>
    <mergeCell ref="C143:D143"/>
    <mergeCell ref="F143:G143"/>
    <mergeCell ref="A144:I144"/>
    <mergeCell ref="A145:I145"/>
    <mergeCell ref="A146:I146"/>
    <mergeCell ref="A147:I147"/>
    <mergeCell ref="B148:H148"/>
    <mergeCell ref="B149:H149"/>
    <mergeCell ref="B150:H150"/>
  </mergeCells>
  <printOptions headings="false" gridLines="false" gridLinesSet="true" horizontalCentered="false" verticalCentered="false"/>
  <pageMargins left="0.698611111111111" right="0.698611111111111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4" man="true" max="16383" min="0"/>
    <brk id="106" man="true" max="16383" min="0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N153"/>
  <sheetViews>
    <sheetView showFormulas="false" showGridLines="true" showRowColHeaders="true" showZeros="true" rightToLeft="false" tabSelected="false" showOutlineSymbols="true" defaultGridColor="true" view="pageBreakPreview" topLeftCell="A130" colorId="64" zoomScale="76" zoomScaleNormal="100" zoomScalePageLayoutView="76" workbookViewId="0">
      <selection pane="topLeft" activeCell="I51" activeCellId="0" sqref="I51"/>
    </sheetView>
  </sheetViews>
  <sheetFormatPr defaultRowHeight="15" zeroHeight="false" outlineLevelRow="0" outlineLevelCol="0"/>
  <cols>
    <col collapsed="false" customWidth="true" hidden="false" outlineLevel="0" max="1" min="1" style="1" width="17.13"/>
    <col collapsed="false" customWidth="true" hidden="false" outlineLevel="0" max="2" min="2" style="1" width="13.57"/>
    <col collapsed="false" customWidth="true" hidden="false" outlineLevel="0" max="3" min="3" style="1" width="15.71"/>
    <col collapsed="false" customWidth="true" hidden="false" outlineLevel="0" max="4" min="4" style="1" width="16.14"/>
    <col collapsed="false" customWidth="true" hidden="false" outlineLevel="0" max="5" min="5" style="1" width="20.42"/>
    <col collapsed="false" customWidth="true" hidden="false" outlineLevel="0" max="6" min="6" style="1" width="16.71"/>
    <col collapsed="false" customWidth="true" hidden="false" outlineLevel="0" max="7" min="7" style="1" width="23.57"/>
    <col collapsed="false" customWidth="true" hidden="false" outlineLevel="0" max="8" min="8" style="1" width="23.42"/>
    <col collapsed="false" customWidth="true" hidden="false" outlineLevel="0" max="9" min="9" style="1" width="40"/>
    <col collapsed="false" customWidth="true" hidden="true" outlineLevel="0" max="11" min="10" style="1" width="9"/>
    <col collapsed="false" customWidth="true" hidden="false" outlineLevel="0" max="12" min="12" style="1" width="58.57"/>
    <col collapsed="false" customWidth="true" hidden="false" outlineLevel="0" max="1025" min="13" style="1" width="28.57"/>
  </cols>
  <sheetData>
    <row r="1" s="101" customFormat="true" ht="15.75" hidden="false" customHeight="false" outlineLevel="0" collapsed="false">
      <c r="A1" s="173" t="s">
        <v>178</v>
      </c>
      <c r="I1" s="261"/>
    </row>
    <row r="2" s="101" customFormat="true" ht="15.75" hidden="false" customHeight="false" outlineLevel="0" collapsed="false">
      <c r="A2" s="173" t="s">
        <v>179</v>
      </c>
      <c r="I2" s="261"/>
    </row>
    <row r="3" s="101" customFormat="true" ht="15.75" hidden="false" customHeight="false" outlineLevel="0" collapsed="false">
      <c r="A3" s="173" t="s">
        <v>180</v>
      </c>
      <c r="I3" s="261"/>
    </row>
    <row r="4" s="101" customFormat="true" ht="15.75" hidden="false" customHeight="false" outlineLevel="0" collapsed="false">
      <c r="A4" s="173" t="s">
        <v>181</v>
      </c>
      <c r="I4" s="261"/>
    </row>
    <row r="5" s="101" customFormat="true" ht="15.75" hidden="false" customHeight="false" outlineLevel="0" collapsed="false">
      <c r="A5" s="173" t="s">
        <v>182</v>
      </c>
      <c r="I5" s="261"/>
    </row>
    <row r="6" s="101" customFormat="true" ht="15.75" hidden="false" customHeight="false" outlineLevel="0" collapsed="false">
      <c r="A6" s="173" t="s">
        <v>183</v>
      </c>
      <c r="I6" s="261"/>
    </row>
    <row r="7" customFormat="false" ht="15.75" hidden="false" customHeight="false" outlineLevel="0" collapsed="false">
      <c r="A7" s="174" t="s">
        <v>184</v>
      </c>
      <c r="I7" s="262"/>
    </row>
    <row r="8" customFormat="false" ht="15.75" hidden="false" customHeight="false" outlineLevel="0" collapsed="false">
      <c r="A8" s="263" t="s">
        <v>1</v>
      </c>
      <c r="B8" s="263"/>
      <c r="C8" s="263"/>
      <c r="D8" s="263"/>
      <c r="E8" s="263"/>
      <c r="F8" s="263"/>
      <c r="G8" s="263"/>
      <c r="H8" s="263"/>
      <c r="I8" s="263"/>
    </row>
    <row r="9" customFormat="false" ht="15.75" hidden="false" customHeight="false" outlineLevel="0" collapsed="false">
      <c r="A9" s="4" t="s">
        <v>2</v>
      </c>
      <c r="B9" s="4"/>
      <c r="C9" s="4"/>
      <c r="D9" s="4"/>
      <c r="E9" s="4"/>
      <c r="F9" s="4"/>
      <c r="G9" s="4"/>
      <c r="H9" s="4"/>
      <c r="I9" s="4"/>
    </row>
    <row r="10" customFormat="false" ht="15.75" hidden="false" customHeight="false" outlineLevel="0" collapsed="false">
      <c r="A10" s="5" t="s">
        <v>3</v>
      </c>
      <c r="B10" s="5"/>
      <c r="C10" s="5"/>
      <c r="D10" s="5"/>
      <c r="E10" s="5"/>
      <c r="F10" s="5"/>
      <c r="G10" s="5"/>
      <c r="H10" s="5"/>
      <c r="I10" s="5"/>
    </row>
    <row r="11" customFormat="false" ht="15.75" hidden="false" customHeight="false" outlineLevel="0" collapsed="false">
      <c r="A11" s="6" t="s">
        <v>4</v>
      </c>
      <c r="B11" s="6"/>
      <c r="C11" s="6"/>
      <c r="D11" s="6"/>
      <c r="E11" s="6"/>
      <c r="F11" s="6"/>
      <c r="G11" s="6"/>
      <c r="H11" s="6"/>
      <c r="I11" s="6"/>
    </row>
    <row r="12" customFormat="false" ht="15.75" hidden="false" customHeight="false" outlineLevel="0" collapsed="false">
      <c r="A12" s="7" t="s">
        <v>5</v>
      </c>
      <c r="B12" s="7"/>
      <c r="C12" s="7"/>
      <c r="D12" s="7"/>
      <c r="E12" s="7"/>
      <c r="F12" s="7"/>
      <c r="G12" s="7"/>
      <c r="H12" s="7"/>
      <c r="I12" s="7"/>
    </row>
    <row r="13" customFormat="false" ht="15.75" hidden="false" customHeight="false" outlineLevel="0" collapsed="false">
      <c r="A13" s="8" t="s">
        <v>6</v>
      </c>
      <c r="B13" s="8"/>
      <c r="C13" s="8"/>
      <c r="D13" s="8"/>
      <c r="E13" s="8"/>
      <c r="F13" s="8"/>
      <c r="G13" s="8"/>
      <c r="H13" s="8"/>
      <c r="I13" s="8"/>
    </row>
    <row r="14" customFormat="false" ht="15.75" hidden="false" customHeight="false" outlineLevel="0" collapsed="false">
      <c r="A14" s="179" t="s">
        <v>7</v>
      </c>
      <c r="B14" s="179"/>
      <c r="C14" s="179"/>
      <c r="D14" s="179"/>
      <c r="E14" s="179"/>
      <c r="F14" s="179"/>
      <c r="G14" s="179"/>
      <c r="H14" s="179"/>
      <c r="I14" s="179"/>
    </row>
    <row r="15" customFormat="false" ht="15.75" hidden="false" customHeight="false" outlineLevel="0" collapsed="false">
      <c r="A15" s="10" t="s">
        <v>8</v>
      </c>
      <c r="B15" s="11" t="s">
        <v>9</v>
      </c>
      <c r="C15" s="11"/>
      <c r="D15" s="11"/>
      <c r="E15" s="11"/>
      <c r="F15" s="11"/>
      <c r="G15" s="11"/>
      <c r="H15" s="11"/>
      <c r="I15" s="264"/>
      <c r="L15" s="13"/>
    </row>
    <row r="16" customFormat="false" ht="15.75" hidden="false" customHeight="false" outlineLevel="0" collapsed="false">
      <c r="A16" s="14" t="s">
        <v>10</v>
      </c>
      <c r="B16" s="15" t="s">
        <v>11</v>
      </c>
      <c r="C16" s="15"/>
      <c r="D16" s="15"/>
      <c r="E16" s="15"/>
      <c r="F16" s="15"/>
      <c r="G16" s="15"/>
      <c r="H16" s="15"/>
      <c r="I16" s="265" t="s">
        <v>239</v>
      </c>
      <c r="L16" s="13"/>
    </row>
    <row r="17" customFormat="false" ht="47.25" hidden="false" customHeight="true" outlineLevel="0" collapsed="false">
      <c r="A17" s="17" t="s">
        <v>12</v>
      </c>
      <c r="B17" s="18" t="s">
        <v>13</v>
      </c>
      <c r="C17" s="18"/>
      <c r="D17" s="18"/>
      <c r="E17" s="18"/>
      <c r="F17" s="18"/>
      <c r="G17" s="18"/>
      <c r="H17" s="18"/>
      <c r="I17" s="266" t="s">
        <v>186</v>
      </c>
      <c r="L17" s="13"/>
    </row>
    <row r="18" customFormat="false" ht="15.75" hidden="false" customHeight="false" outlineLevel="0" collapsed="false">
      <c r="A18" s="20" t="s">
        <v>14</v>
      </c>
      <c r="B18" s="21" t="s">
        <v>15</v>
      </c>
      <c r="C18" s="21"/>
      <c r="D18" s="21"/>
      <c r="E18" s="21"/>
      <c r="F18" s="21"/>
      <c r="G18" s="21"/>
      <c r="H18" s="21"/>
      <c r="I18" s="267" t="n">
        <v>12</v>
      </c>
    </row>
    <row r="19" customFormat="false" ht="15.75" hidden="false" customHeight="false" outlineLevel="0" collapsed="false">
      <c r="A19" s="179" t="s">
        <v>16</v>
      </c>
      <c r="B19" s="179"/>
      <c r="C19" s="179"/>
      <c r="D19" s="179"/>
      <c r="E19" s="179"/>
      <c r="F19" s="179"/>
      <c r="G19" s="179"/>
      <c r="H19" s="179"/>
      <c r="I19" s="179"/>
    </row>
    <row r="20" customFormat="false" ht="15.75" hidden="false" customHeight="false" outlineLevel="0" collapsed="false">
      <c r="A20" s="23" t="s">
        <v>17</v>
      </c>
      <c r="B20" s="23"/>
      <c r="C20" s="23"/>
      <c r="D20" s="23"/>
      <c r="E20" s="24" t="s">
        <v>18</v>
      </c>
      <c r="F20" s="24"/>
      <c r="G20" s="25" t="s">
        <v>19</v>
      </c>
      <c r="H20" s="25"/>
      <c r="I20" s="25"/>
    </row>
    <row r="21" customFormat="false" ht="15.75" hidden="false" customHeight="true" outlineLevel="0" collapsed="false">
      <c r="A21" s="26" t="s">
        <v>20</v>
      </c>
      <c r="B21" s="26"/>
      <c r="C21" s="26"/>
      <c r="D21" s="26"/>
      <c r="E21" s="27" t="s">
        <v>21</v>
      </c>
      <c r="F21" s="27"/>
      <c r="G21" s="28" t="n">
        <v>3</v>
      </c>
      <c r="H21" s="28"/>
      <c r="I21" s="28"/>
    </row>
    <row r="22" customFormat="false" ht="31.5" hidden="false" customHeight="true" outlineLevel="0" collapsed="false">
      <c r="A22" s="268" t="s">
        <v>217</v>
      </c>
      <c r="B22" s="268"/>
      <c r="C22" s="268"/>
      <c r="D22" s="268"/>
      <c r="E22" s="27"/>
      <c r="F22" s="27"/>
      <c r="G22" s="28"/>
      <c r="H22" s="28"/>
      <c r="I22" s="28"/>
      <c r="L22" s="30"/>
    </row>
    <row r="23" customFormat="false" ht="15.75" hidden="false" customHeight="false" outlineLevel="0" collapsed="false">
      <c r="A23" s="31"/>
      <c r="B23" s="269"/>
      <c r="C23" s="269"/>
      <c r="D23" s="269"/>
      <c r="E23" s="269"/>
      <c r="F23" s="269"/>
      <c r="G23" s="269"/>
      <c r="H23" s="269"/>
      <c r="I23" s="269"/>
    </row>
    <row r="24" customFormat="false" ht="15.75" hidden="false" customHeight="false" outlineLevel="0" collapsed="false">
      <c r="A24" s="33" t="s">
        <v>22</v>
      </c>
      <c r="B24" s="33"/>
      <c r="C24" s="33"/>
      <c r="D24" s="33"/>
      <c r="E24" s="33"/>
      <c r="F24" s="33"/>
      <c r="G24" s="33"/>
      <c r="H24" s="33"/>
      <c r="I24" s="33"/>
    </row>
    <row r="25" customFormat="false" ht="15.75" hidden="false" customHeight="false" outlineLevel="0" collapsed="false">
      <c r="A25" s="34" t="s">
        <v>23</v>
      </c>
      <c r="B25" s="34"/>
      <c r="C25" s="34"/>
      <c r="D25" s="34"/>
      <c r="E25" s="34"/>
      <c r="F25" s="34"/>
      <c r="G25" s="34"/>
      <c r="H25" s="34"/>
      <c r="I25" s="34"/>
    </row>
    <row r="26" customFormat="false" ht="15.75" hidden="false" customHeight="false" outlineLevel="0" collapsed="false">
      <c r="A26" s="35" t="s">
        <v>24</v>
      </c>
      <c r="B26" s="35"/>
      <c r="C26" s="35"/>
      <c r="D26" s="35"/>
      <c r="E26" s="35"/>
      <c r="F26" s="35"/>
      <c r="G26" s="35"/>
      <c r="H26" s="35"/>
      <c r="I26" s="35"/>
    </row>
    <row r="27" customFormat="false" ht="15.75" hidden="false" customHeight="true" outlineLevel="0" collapsed="false">
      <c r="A27" s="14" t="n">
        <v>1</v>
      </c>
      <c r="B27" s="36" t="s">
        <v>25</v>
      </c>
      <c r="C27" s="36"/>
      <c r="D27" s="36"/>
      <c r="E27" s="36"/>
      <c r="F27" s="36"/>
      <c r="G27" s="36"/>
      <c r="H27" s="36"/>
      <c r="I27" s="266" t="s">
        <v>26</v>
      </c>
    </row>
    <row r="28" customFormat="false" ht="15.75" hidden="false" customHeight="true" outlineLevel="0" collapsed="false">
      <c r="A28" s="14" t="n">
        <v>2</v>
      </c>
      <c r="B28" s="38" t="s">
        <v>27</v>
      </c>
      <c r="C28" s="38"/>
      <c r="D28" s="38"/>
      <c r="E28" s="38"/>
      <c r="F28" s="38"/>
      <c r="G28" s="38"/>
      <c r="H28" s="38"/>
      <c r="I28" s="265" t="n">
        <f aca="false">Dados!B2</f>
        <v>1305.17</v>
      </c>
    </row>
    <row r="29" customFormat="false" ht="15.75" hidden="false" customHeight="true" outlineLevel="0" collapsed="false">
      <c r="A29" s="14" t="n">
        <v>3</v>
      </c>
      <c r="B29" s="38" t="s">
        <v>28</v>
      </c>
      <c r="C29" s="38"/>
      <c r="D29" s="38"/>
      <c r="E29" s="38"/>
      <c r="F29" s="38"/>
      <c r="G29" s="38"/>
      <c r="H29" s="38"/>
      <c r="I29" s="265" t="s">
        <v>188</v>
      </c>
    </row>
    <row r="30" customFormat="false" ht="15.75" hidden="false" customHeight="true" outlineLevel="0" collapsed="false">
      <c r="A30" s="40" t="n">
        <v>4</v>
      </c>
      <c r="B30" s="329" t="s">
        <v>29</v>
      </c>
      <c r="C30" s="329"/>
      <c r="D30" s="329"/>
      <c r="E30" s="329"/>
      <c r="F30" s="329"/>
      <c r="G30" s="329"/>
      <c r="H30" s="329"/>
      <c r="I30" s="270" t="n">
        <v>42005</v>
      </c>
    </row>
    <row r="31" customFormat="false" ht="15.75" hidden="false" customHeight="true" outlineLevel="0" collapsed="false">
      <c r="A31" s="40" t="n">
        <v>5</v>
      </c>
      <c r="B31" s="38" t="s">
        <v>30</v>
      </c>
      <c r="C31" s="38"/>
      <c r="D31" s="38"/>
      <c r="E31" s="38"/>
      <c r="F31" s="38"/>
      <c r="G31" s="38"/>
      <c r="H31" s="38"/>
      <c r="I31" s="270" t="n">
        <f aca="false">I28/220</f>
        <v>5.93259090909091</v>
      </c>
    </row>
    <row r="32" customFormat="false" ht="15.75" hidden="false" customHeight="true" outlineLevel="0" collapsed="false">
      <c r="A32" s="40" t="n">
        <v>6</v>
      </c>
      <c r="B32" s="38" t="s">
        <v>31</v>
      </c>
      <c r="C32" s="38"/>
      <c r="D32" s="38"/>
      <c r="E32" s="38"/>
      <c r="F32" s="38"/>
      <c r="G32" s="38"/>
      <c r="H32" s="38"/>
      <c r="I32" s="330" t="n">
        <f aca="false">I31*1.5</f>
        <v>8.89888636363636</v>
      </c>
    </row>
    <row r="33" customFormat="false" ht="16.5" hidden="false" customHeight="true" outlineLevel="0" collapsed="false">
      <c r="A33" s="20" t="n">
        <v>7</v>
      </c>
      <c r="B33" s="44" t="s">
        <v>32</v>
      </c>
      <c r="C33" s="44"/>
      <c r="D33" s="44"/>
      <c r="E33" s="44"/>
      <c r="F33" s="44"/>
      <c r="G33" s="44"/>
      <c r="H33" s="44"/>
      <c r="I33" s="267" t="n">
        <f aca="false">I31*0.2</f>
        <v>1.18651818181818</v>
      </c>
    </row>
    <row r="34" customFormat="false" ht="15.75" hidden="false" customHeight="false" outlineLevel="0" collapsed="false">
      <c r="A34" s="271"/>
      <c r="B34" s="271"/>
      <c r="C34" s="271"/>
      <c r="D34" s="271"/>
      <c r="E34" s="271"/>
      <c r="F34" s="271"/>
      <c r="G34" s="271"/>
      <c r="H34" s="271"/>
      <c r="I34" s="271"/>
    </row>
    <row r="35" customFormat="false" ht="15.75" hidden="false" customHeight="false" outlineLevel="0" collapsed="false">
      <c r="A35" s="47" t="s">
        <v>33</v>
      </c>
      <c r="B35" s="47"/>
      <c r="C35" s="47"/>
      <c r="D35" s="47"/>
      <c r="E35" s="47"/>
      <c r="F35" s="47"/>
      <c r="G35" s="47"/>
      <c r="H35" s="47"/>
      <c r="I35" s="47"/>
    </row>
    <row r="36" customFormat="false" ht="15.75" hidden="false" customHeight="false" outlineLevel="0" collapsed="false">
      <c r="A36" s="48" t="n">
        <v>1</v>
      </c>
      <c r="B36" s="49" t="s">
        <v>34</v>
      </c>
      <c r="C36" s="49"/>
      <c r="D36" s="49"/>
      <c r="E36" s="49"/>
      <c r="F36" s="49"/>
      <c r="G36" s="49"/>
      <c r="H36" s="49"/>
      <c r="I36" s="272" t="s">
        <v>35</v>
      </c>
      <c r="L36" s="51"/>
    </row>
    <row r="37" customFormat="false" ht="15.75" hidden="false" customHeight="false" outlineLevel="0" collapsed="false">
      <c r="A37" s="17" t="s">
        <v>8</v>
      </c>
      <c r="B37" s="52" t="s">
        <v>36</v>
      </c>
      <c r="C37" s="52"/>
      <c r="D37" s="52"/>
      <c r="E37" s="52"/>
      <c r="F37" s="52"/>
      <c r="G37" s="52"/>
      <c r="H37" s="52"/>
      <c r="I37" s="273" t="n">
        <f aca="false">ROUND(I28*2,2)</f>
        <v>2610.34</v>
      </c>
      <c r="L37" s="51"/>
    </row>
    <row r="38" customFormat="false" ht="27" hidden="false" customHeight="true" outlineLevel="0" collapsed="false">
      <c r="A38" s="17" t="s">
        <v>10</v>
      </c>
      <c r="B38" s="54" t="s">
        <v>218</v>
      </c>
      <c r="C38" s="54"/>
      <c r="D38" s="54"/>
      <c r="E38" s="54"/>
      <c r="F38" s="54"/>
      <c r="G38" s="54"/>
      <c r="H38" s="54"/>
      <c r="I38" s="273" t="n">
        <f aca="false">ROUND((I32*21*2)+(I32*5*2*(15/60)),2)</f>
        <v>396</v>
      </c>
      <c r="L38" s="55"/>
    </row>
    <row r="39" customFormat="false" ht="28.5" hidden="false" customHeight="true" outlineLevel="0" collapsed="false">
      <c r="A39" s="17" t="s">
        <v>12</v>
      </c>
      <c r="B39" s="54" t="s">
        <v>240</v>
      </c>
      <c r="C39" s="54"/>
      <c r="D39" s="54"/>
      <c r="E39" s="54"/>
      <c r="F39" s="54"/>
      <c r="G39" s="54"/>
      <c r="H39" s="54"/>
      <c r="I39" s="211" t="n">
        <f aca="false">ROUND(I33*1*(60/52.5)*21,2)</f>
        <v>28.48</v>
      </c>
      <c r="L39" s="55"/>
    </row>
    <row r="40" customFormat="false" ht="32.25" hidden="false" customHeight="true" outlineLevel="0" collapsed="false">
      <c r="A40" s="17" t="s">
        <v>14</v>
      </c>
      <c r="B40" s="54" t="s">
        <v>220</v>
      </c>
      <c r="C40" s="54"/>
      <c r="D40" s="54"/>
      <c r="E40" s="54"/>
      <c r="F40" s="54"/>
      <c r="G40" s="54"/>
      <c r="H40" s="54"/>
      <c r="I40" s="273" t="n">
        <f aca="false">ROUND(I32*21*(60/52.5-1),2)</f>
        <v>26.7</v>
      </c>
      <c r="L40" s="55"/>
    </row>
    <row r="41" customFormat="false" ht="15.75" hidden="false" customHeight="false" outlineLevel="0" collapsed="false">
      <c r="A41" s="17" t="s">
        <v>40</v>
      </c>
      <c r="B41" s="74" t="s">
        <v>221</v>
      </c>
      <c r="C41" s="74"/>
      <c r="D41" s="74"/>
      <c r="E41" s="74"/>
      <c r="F41" s="74"/>
      <c r="G41" s="74"/>
      <c r="H41" s="74"/>
      <c r="I41" s="273" t="n">
        <f aca="false">ROUND(I32*2*10,2)</f>
        <v>177.98</v>
      </c>
      <c r="L41" s="57"/>
    </row>
    <row r="42" customFormat="false" ht="21" hidden="false" customHeight="true" outlineLevel="0" collapsed="false">
      <c r="A42" s="274" t="s">
        <v>42</v>
      </c>
      <c r="B42" s="58" t="s">
        <v>43</v>
      </c>
      <c r="C42" s="58"/>
      <c r="D42" s="58"/>
      <c r="E42" s="58"/>
      <c r="F42" s="58"/>
      <c r="G42" s="58"/>
      <c r="H42" s="58"/>
      <c r="I42" s="273" t="n">
        <f aca="false">SUM(I38:I41)*0.2</f>
        <v>125.832</v>
      </c>
      <c r="K42" s="59"/>
    </row>
    <row r="43" customFormat="false" ht="15.75" hidden="false" customHeight="false" outlineLevel="0" collapsed="false">
      <c r="A43" s="60" t="s">
        <v>44</v>
      </c>
      <c r="B43" s="60"/>
      <c r="C43" s="60"/>
      <c r="D43" s="60"/>
      <c r="E43" s="60"/>
      <c r="F43" s="60"/>
      <c r="G43" s="60"/>
      <c r="H43" s="60"/>
      <c r="I43" s="275" t="n">
        <f aca="false">SUM(I37:I42)</f>
        <v>3365.332</v>
      </c>
    </row>
    <row r="44" customFormat="false" ht="15.75" hidden="false" customHeight="false" outlineLevel="0" collapsed="false">
      <c r="A44" s="47" t="s">
        <v>45</v>
      </c>
      <c r="B44" s="47"/>
      <c r="C44" s="47"/>
      <c r="D44" s="47"/>
      <c r="E44" s="47"/>
      <c r="F44" s="47"/>
      <c r="G44" s="47"/>
      <c r="H44" s="47"/>
      <c r="I44" s="47"/>
    </row>
    <row r="45" customFormat="false" ht="15.75" hidden="false" customHeight="false" outlineLevel="0" collapsed="false">
      <c r="A45" s="62" t="n">
        <v>2</v>
      </c>
      <c r="B45" s="63" t="s">
        <v>46</v>
      </c>
      <c r="C45" s="63"/>
      <c r="D45" s="63"/>
      <c r="E45" s="63"/>
      <c r="F45" s="63"/>
      <c r="G45" s="63"/>
      <c r="H45" s="63"/>
      <c r="I45" s="272" t="s">
        <v>35</v>
      </c>
    </row>
    <row r="46" customFormat="false" ht="15.75" hidden="false" customHeight="true" outlineLevel="0" collapsed="false">
      <c r="A46" s="64" t="s">
        <v>8</v>
      </c>
      <c r="B46" s="54" t="s">
        <v>206</v>
      </c>
      <c r="C46" s="54"/>
      <c r="D46" s="54"/>
      <c r="E46" s="54"/>
      <c r="F46" s="54"/>
      <c r="G46" s="54"/>
      <c r="H46" s="54"/>
      <c r="I46" s="273" t="n">
        <f aca="false">ROUND((2*H48*H47*26)-(0.06*I37),2)</f>
        <v>155.38</v>
      </c>
      <c r="L46" s="66"/>
    </row>
    <row r="47" customFormat="false" ht="33.75" hidden="false" customHeight="true" outlineLevel="0" collapsed="false">
      <c r="A47" s="64"/>
      <c r="B47" s="333" t="s">
        <v>48</v>
      </c>
      <c r="C47" s="333"/>
      <c r="D47" s="333"/>
      <c r="E47" s="333"/>
      <c r="F47" s="333"/>
      <c r="G47" s="333"/>
      <c r="H47" s="278" t="n">
        <f aca="false">Dados!B11</f>
        <v>3</v>
      </c>
      <c r="I47" s="279"/>
    </row>
    <row r="48" customFormat="false" ht="15.75" hidden="false" customHeight="false" outlineLevel="0" collapsed="false">
      <c r="A48" s="64"/>
      <c r="B48" s="69" t="s">
        <v>49</v>
      </c>
      <c r="C48" s="69"/>
      <c r="D48" s="69"/>
      <c r="E48" s="69"/>
      <c r="F48" s="69"/>
      <c r="G48" s="69"/>
      <c r="H48" s="70" t="n">
        <v>2</v>
      </c>
      <c r="I48" s="279"/>
    </row>
    <row r="49" customFormat="false" ht="15.75" hidden="false" customHeight="true" outlineLevel="0" collapsed="false">
      <c r="A49" s="64" t="s">
        <v>10</v>
      </c>
      <c r="B49" s="54" t="s">
        <v>50</v>
      </c>
      <c r="C49" s="54"/>
      <c r="D49" s="54"/>
      <c r="E49" s="54"/>
      <c r="F49" s="54"/>
      <c r="G49" s="54"/>
      <c r="H49" s="54"/>
      <c r="I49" s="279" t="n">
        <f aca="false">ROUND(((2*21*H50)+(2*5*Dados!B4))*(1-0.18),2)</f>
        <v>644.73</v>
      </c>
    </row>
    <row r="50" customFormat="false" ht="15.75" hidden="false" customHeight="false" outlineLevel="0" collapsed="false">
      <c r="A50" s="64"/>
      <c r="B50" s="69" t="s">
        <v>51</v>
      </c>
      <c r="C50" s="69"/>
      <c r="D50" s="69"/>
      <c r="E50" s="69"/>
      <c r="F50" s="69"/>
      <c r="G50" s="69"/>
      <c r="H50" s="280" t="n">
        <f aca="false">Dados!B3</f>
        <v>16.73</v>
      </c>
      <c r="I50" s="281"/>
    </row>
    <row r="51" customFormat="false" ht="30.75" hidden="false" customHeight="true" outlineLevel="0" collapsed="false">
      <c r="A51" s="17" t="s">
        <v>12</v>
      </c>
      <c r="B51" s="58" t="s">
        <v>207</v>
      </c>
      <c r="C51" s="58"/>
      <c r="D51" s="58"/>
      <c r="E51" s="58"/>
      <c r="F51" s="58"/>
      <c r="G51" s="58"/>
      <c r="H51" s="58"/>
      <c r="I51" s="312" t="n">
        <f aca="false">ROUND(Dados!B5*2,2)</f>
        <v>30.04</v>
      </c>
    </row>
    <row r="52" customFormat="false" ht="15.75" hidden="false" customHeight="false" outlineLevel="0" collapsed="false">
      <c r="A52" s="60" t="s">
        <v>53</v>
      </c>
      <c r="B52" s="60"/>
      <c r="C52" s="60"/>
      <c r="D52" s="60"/>
      <c r="E52" s="60"/>
      <c r="F52" s="60"/>
      <c r="G52" s="60"/>
      <c r="H52" s="60"/>
      <c r="I52" s="275" t="n">
        <f aca="false">SUM(I46:I51)</f>
        <v>830.15</v>
      </c>
    </row>
    <row r="53" customFormat="false" ht="15.75" hidden="false" customHeight="false" outlineLevel="0" collapsed="false">
      <c r="A53" s="73" t="s">
        <v>54</v>
      </c>
      <c r="B53" s="73"/>
      <c r="C53" s="73"/>
      <c r="D53" s="73"/>
      <c r="E53" s="73"/>
      <c r="F53" s="73"/>
      <c r="G53" s="73"/>
      <c r="H53" s="73"/>
      <c r="I53" s="73"/>
    </row>
    <row r="54" customFormat="false" ht="15.75" hidden="false" customHeight="false" outlineLevel="0" collapsed="false">
      <c r="A54" s="47" t="s">
        <v>55</v>
      </c>
      <c r="B54" s="47"/>
      <c r="C54" s="47"/>
      <c r="D54" s="47"/>
      <c r="E54" s="47"/>
      <c r="F54" s="47"/>
      <c r="G54" s="47"/>
      <c r="H54" s="47"/>
      <c r="I54" s="47"/>
    </row>
    <row r="55" customFormat="false" ht="15.75" hidden="false" customHeight="false" outlineLevel="0" collapsed="false">
      <c r="A55" s="62" t="n">
        <v>3</v>
      </c>
      <c r="B55" s="63" t="s">
        <v>56</v>
      </c>
      <c r="C55" s="63"/>
      <c r="D55" s="63"/>
      <c r="E55" s="63"/>
      <c r="F55" s="63"/>
      <c r="G55" s="63"/>
      <c r="H55" s="63"/>
      <c r="I55" s="272" t="s">
        <v>35</v>
      </c>
    </row>
    <row r="56" customFormat="false" ht="15.75" hidden="false" customHeight="false" outlineLevel="0" collapsed="false">
      <c r="A56" s="64" t="s">
        <v>8</v>
      </c>
      <c r="B56" s="74" t="s">
        <v>233</v>
      </c>
      <c r="C56" s="74"/>
      <c r="D56" s="74"/>
      <c r="E56" s="74"/>
      <c r="F56" s="74"/>
      <c r="G56" s="74"/>
      <c r="H56" s="74"/>
      <c r="I56" s="282" t="n">
        <f aca="false">Dados!D6*2</f>
        <v>137.67625</v>
      </c>
      <c r="J56" s="76"/>
      <c r="K56" s="77"/>
    </row>
    <row r="57" customFormat="false" ht="15.75" hidden="false" customHeight="false" outlineLevel="0" collapsed="false">
      <c r="A57" s="60" t="s">
        <v>58</v>
      </c>
      <c r="B57" s="60"/>
      <c r="C57" s="60"/>
      <c r="D57" s="60"/>
      <c r="E57" s="60"/>
      <c r="F57" s="60"/>
      <c r="G57" s="60"/>
      <c r="H57" s="60"/>
      <c r="I57" s="283" t="n">
        <f aca="false">SUM(I56:I56)</f>
        <v>137.67625</v>
      </c>
    </row>
    <row r="58" customFormat="false" ht="15.75" hidden="false" customHeight="false" outlineLevel="0" collapsed="false">
      <c r="A58" s="47" t="s">
        <v>59</v>
      </c>
      <c r="B58" s="47"/>
      <c r="C58" s="47"/>
      <c r="D58" s="47"/>
      <c r="E58" s="47"/>
      <c r="F58" s="47"/>
      <c r="G58" s="47"/>
      <c r="H58" s="47"/>
      <c r="I58" s="47"/>
    </row>
    <row r="59" customFormat="false" ht="15.75" hidden="false" customHeight="false" outlineLevel="0" collapsed="false">
      <c r="A59" s="79" t="s">
        <v>60</v>
      </c>
      <c r="B59" s="79"/>
      <c r="C59" s="79"/>
      <c r="D59" s="79"/>
      <c r="E59" s="79"/>
      <c r="F59" s="79"/>
      <c r="G59" s="79"/>
      <c r="H59" s="79"/>
      <c r="I59" s="79"/>
    </row>
    <row r="60" customFormat="false" ht="15.75" hidden="false" customHeight="false" outlineLevel="0" collapsed="false">
      <c r="A60" s="62" t="s">
        <v>61</v>
      </c>
      <c r="B60" s="80" t="s">
        <v>62</v>
      </c>
      <c r="C60" s="80"/>
      <c r="D60" s="80"/>
      <c r="E60" s="80"/>
      <c r="F60" s="80"/>
      <c r="G60" s="80"/>
      <c r="H60" s="81" t="s">
        <v>63</v>
      </c>
      <c r="I60" s="272" t="s">
        <v>35</v>
      </c>
    </row>
    <row r="61" customFormat="false" ht="15.75" hidden="false" customHeight="false" outlineLevel="0" collapsed="false">
      <c r="A61" s="82" t="s">
        <v>8</v>
      </c>
      <c r="B61" s="83" t="s">
        <v>64</v>
      </c>
      <c r="C61" s="83"/>
      <c r="D61" s="83"/>
      <c r="E61" s="83"/>
      <c r="F61" s="83"/>
      <c r="G61" s="83"/>
      <c r="H61" s="84" t="n">
        <v>0.2</v>
      </c>
      <c r="I61" s="273" t="n">
        <f aca="false">ROUND(($I$43-$I$38)*H61,2)</f>
        <v>593.87</v>
      </c>
      <c r="K61" s="66"/>
    </row>
    <row r="62" customFormat="false" ht="15.75" hidden="false" customHeight="false" outlineLevel="0" collapsed="false">
      <c r="A62" s="82" t="s">
        <v>10</v>
      </c>
      <c r="B62" s="83" t="s">
        <v>65</v>
      </c>
      <c r="C62" s="83"/>
      <c r="D62" s="83"/>
      <c r="E62" s="83"/>
      <c r="F62" s="83"/>
      <c r="G62" s="83"/>
      <c r="H62" s="85" t="n">
        <v>0.015</v>
      </c>
      <c r="I62" s="273" t="n">
        <f aca="false">ROUND(($I$43-$I$38)*H62,2)</f>
        <v>44.54</v>
      </c>
      <c r="K62" s="66"/>
    </row>
    <row r="63" customFormat="false" ht="15.75" hidden="false" customHeight="false" outlineLevel="0" collapsed="false">
      <c r="A63" s="82" t="s">
        <v>12</v>
      </c>
      <c r="B63" s="83" t="s">
        <v>66</v>
      </c>
      <c r="C63" s="83"/>
      <c r="D63" s="83"/>
      <c r="E63" s="83"/>
      <c r="F63" s="83"/>
      <c r="G63" s="83"/>
      <c r="H63" s="84" t="n">
        <v>0.01</v>
      </c>
      <c r="I63" s="273" t="n">
        <f aca="false">ROUND(($I$43-$I$38)*H63,2)</f>
        <v>29.69</v>
      </c>
      <c r="K63" s="66"/>
    </row>
    <row r="64" customFormat="false" ht="15.75" hidden="false" customHeight="false" outlineLevel="0" collapsed="false">
      <c r="A64" s="82" t="s">
        <v>14</v>
      </c>
      <c r="B64" s="83" t="s">
        <v>67</v>
      </c>
      <c r="C64" s="83"/>
      <c r="D64" s="83"/>
      <c r="E64" s="83"/>
      <c r="F64" s="83"/>
      <c r="G64" s="83"/>
      <c r="H64" s="86" t="n">
        <v>0.002</v>
      </c>
      <c r="I64" s="273" t="n">
        <f aca="false">ROUND(($I$43-$I$38)*H64,2)</f>
        <v>5.94</v>
      </c>
      <c r="K64" s="66"/>
    </row>
    <row r="65" customFormat="false" ht="15.75" hidden="false" customHeight="false" outlineLevel="0" collapsed="false">
      <c r="A65" s="82" t="s">
        <v>40</v>
      </c>
      <c r="B65" s="83" t="s">
        <v>68</v>
      </c>
      <c r="C65" s="83"/>
      <c r="D65" s="83"/>
      <c r="E65" s="83"/>
      <c r="F65" s="83"/>
      <c r="G65" s="83"/>
      <c r="H65" s="86" t="n">
        <v>0.025</v>
      </c>
      <c r="I65" s="273" t="n">
        <f aca="false">ROUND(($I$43-$I$38)*H65,2)</f>
        <v>74.23</v>
      </c>
      <c r="K65" s="66"/>
    </row>
    <row r="66" customFormat="false" ht="15.75" hidden="false" customHeight="false" outlineLevel="0" collapsed="false">
      <c r="A66" s="82" t="s">
        <v>42</v>
      </c>
      <c r="B66" s="83" t="s">
        <v>69</v>
      </c>
      <c r="C66" s="83"/>
      <c r="D66" s="83"/>
      <c r="E66" s="83"/>
      <c r="F66" s="83"/>
      <c r="G66" s="83"/>
      <c r="H66" s="84" t="n">
        <v>0.08</v>
      </c>
      <c r="I66" s="273" t="n">
        <f aca="false">ROUND(($I$43-$I$38)*H66,2)</f>
        <v>237.55</v>
      </c>
      <c r="K66" s="66"/>
    </row>
    <row r="67" customFormat="false" ht="15.75" hidden="false" customHeight="false" outlineLevel="0" collapsed="false">
      <c r="A67" s="82" t="s">
        <v>70</v>
      </c>
      <c r="B67" s="87" t="s">
        <v>71</v>
      </c>
      <c r="C67" s="87"/>
      <c r="D67" s="87"/>
      <c r="E67" s="87"/>
      <c r="F67" s="88" t="s">
        <v>72</v>
      </c>
      <c r="G67" s="89" t="s">
        <v>196</v>
      </c>
      <c r="H67" s="86" t="n">
        <v>0.015</v>
      </c>
      <c r="I67" s="273" t="n">
        <f aca="false">ROUND(($I$43-$I$38)*H67,2)</f>
        <v>44.54</v>
      </c>
      <c r="K67" s="66"/>
    </row>
    <row r="68" customFormat="false" ht="15.75" hidden="false" customHeight="false" outlineLevel="0" collapsed="false">
      <c r="A68" s="82" t="s">
        <v>74</v>
      </c>
      <c r="B68" s="83" t="s">
        <v>75</v>
      </c>
      <c r="C68" s="83"/>
      <c r="D68" s="83"/>
      <c r="E68" s="83"/>
      <c r="F68" s="83"/>
      <c r="G68" s="83"/>
      <c r="H68" s="86" t="n">
        <v>0.006</v>
      </c>
      <c r="I68" s="273" t="n">
        <f aca="false">ROUND(($I$43-$I$38)*H68,2)</f>
        <v>17.82</v>
      </c>
      <c r="K68" s="66"/>
    </row>
    <row r="69" customFormat="false" ht="15.75" hidden="false" customHeight="false" outlineLevel="0" collapsed="false">
      <c r="A69" s="90" t="s">
        <v>76</v>
      </c>
      <c r="B69" s="90"/>
      <c r="C69" s="90"/>
      <c r="D69" s="90"/>
      <c r="E69" s="90"/>
      <c r="F69" s="90"/>
      <c r="G69" s="90"/>
      <c r="H69" s="91" t="n">
        <f aca="false">SUM(H61:H68)</f>
        <v>0.353</v>
      </c>
      <c r="I69" s="284" t="n">
        <f aca="false">SUM(I61:I68)</f>
        <v>1048.18</v>
      </c>
      <c r="K69" s="66"/>
    </row>
    <row r="70" customFormat="false" ht="15.75" hidden="false" customHeight="false" outlineLevel="0" collapsed="false">
      <c r="A70" s="93" t="s">
        <v>77</v>
      </c>
      <c r="B70" s="93"/>
      <c r="C70" s="93"/>
      <c r="D70" s="93"/>
      <c r="E70" s="93"/>
      <c r="F70" s="93"/>
      <c r="G70" s="93"/>
      <c r="H70" s="93"/>
      <c r="I70" s="93"/>
    </row>
    <row r="71" customFormat="false" ht="15.75" hidden="false" customHeight="false" outlineLevel="0" collapsed="false">
      <c r="A71" s="94" t="s">
        <v>78</v>
      </c>
      <c r="B71" s="94"/>
      <c r="C71" s="94"/>
      <c r="D71" s="94"/>
      <c r="E71" s="94"/>
      <c r="F71" s="94"/>
      <c r="G71" s="94"/>
      <c r="H71" s="94"/>
      <c r="I71" s="94"/>
    </row>
    <row r="72" customFormat="false" ht="15.75" hidden="false" customHeight="false" outlineLevel="0" collapsed="false">
      <c r="A72" s="79" t="s">
        <v>79</v>
      </c>
      <c r="B72" s="79"/>
      <c r="C72" s="79"/>
      <c r="D72" s="79"/>
      <c r="E72" s="79"/>
      <c r="F72" s="79"/>
      <c r="G72" s="79"/>
      <c r="H72" s="79"/>
      <c r="I72" s="79"/>
    </row>
    <row r="73" customFormat="false" ht="15.75" hidden="false" customHeight="false" outlineLevel="0" collapsed="false">
      <c r="A73" s="62" t="s">
        <v>80</v>
      </c>
      <c r="B73" s="81" t="s">
        <v>81</v>
      </c>
      <c r="C73" s="81"/>
      <c r="D73" s="81"/>
      <c r="E73" s="81"/>
      <c r="F73" s="81"/>
      <c r="G73" s="81"/>
      <c r="H73" s="81"/>
      <c r="I73" s="272" t="s">
        <v>35</v>
      </c>
    </row>
    <row r="74" customFormat="false" ht="36.75" hidden="false" customHeight="true" outlineLevel="0" collapsed="false">
      <c r="A74" s="17" t="s">
        <v>8</v>
      </c>
      <c r="B74" s="95" t="s">
        <v>82</v>
      </c>
      <c r="C74" s="95"/>
      <c r="D74" s="95"/>
      <c r="E74" s="95"/>
      <c r="F74" s="95"/>
      <c r="G74" s="95"/>
      <c r="H74" s="95"/>
      <c r="I74" s="285" t="n">
        <f aca="false">ROUND(I43/12,2)</f>
        <v>280.44</v>
      </c>
      <c r="K74" s="66"/>
    </row>
    <row r="75" customFormat="false" ht="15.75" hidden="false" customHeight="false" outlineLevel="0" collapsed="false">
      <c r="A75" s="97" t="s">
        <v>83</v>
      </c>
      <c r="B75" s="97"/>
      <c r="C75" s="97"/>
      <c r="D75" s="97"/>
      <c r="E75" s="97"/>
      <c r="F75" s="97"/>
      <c r="G75" s="97"/>
      <c r="H75" s="97"/>
      <c r="I75" s="273" t="n">
        <f aca="false">SUM(I74:I74)</f>
        <v>280.44</v>
      </c>
      <c r="K75" s="66"/>
    </row>
    <row r="76" customFormat="false" ht="15.75" hidden="false" customHeight="false" outlineLevel="0" collapsed="false">
      <c r="A76" s="17" t="s">
        <v>10</v>
      </c>
      <c r="B76" s="83" t="s">
        <v>84</v>
      </c>
      <c r="C76" s="83"/>
      <c r="D76" s="83"/>
      <c r="E76" s="83"/>
      <c r="F76" s="83"/>
      <c r="G76" s="83"/>
      <c r="H76" s="83"/>
      <c r="I76" s="273" t="n">
        <f aca="false">ROUND(I75*H69,2)</f>
        <v>99</v>
      </c>
      <c r="K76" s="66"/>
    </row>
    <row r="77" customFormat="false" ht="15.75" hidden="false" customHeight="false" outlineLevel="0" collapsed="false">
      <c r="A77" s="60" t="s">
        <v>76</v>
      </c>
      <c r="B77" s="60"/>
      <c r="C77" s="60"/>
      <c r="D77" s="60"/>
      <c r="E77" s="60"/>
      <c r="F77" s="60"/>
      <c r="G77" s="60"/>
      <c r="H77" s="60"/>
      <c r="I77" s="275" t="n">
        <f aca="false">SUM(I75:I76)</f>
        <v>379.44</v>
      </c>
      <c r="K77" s="66"/>
    </row>
    <row r="78" customFormat="false" ht="15.75" hidden="false" customHeight="false" outlineLevel="0" collapsed="false">
      <c r="A78" s="79" t="s">
        <v>85</v>
      </c>
      <c r="B78" s="79"/>
      <c r="C78" s="79"/>
      <c r="D78" s="79"/>
      <c r="E78" s="79"/>
      <c r="F78" s="79"/>
      <c r="G78" s="79"/>
      <c r="H78" s="79"/>
      <c r="I78" s="79"/>
    </row>
    <row r="79" customFormat="false" ht="15.75" hidden="false" customHeight="false" outlineLevel="0" collapsed="false">
      <c r="A79" s="62" t="s">
        <v>86</v>
      </c>
      <c r="B79" s="81" t="s">
        <v>87</v>
      </c>
      <c r="C79" s="81"/>
      <c r="D79" s="81"/>
      <c r="E79" s="81"/>
      <c r="F79" s="81"/>
      <c r="G79" s="81"/>
      <c r="H79" s="81"/>
      <c r="I79" s="272" t="s">
        <v>35</v>
      </c>
    </row>
    <row r="80" customFormat="false" ht="15.75" hidden="false" customHeight="false" outlineLevel="0" collapsed="false">
      <c r="A80" s="17" t="s">
        <v>8</v>
      </c>
      <c r="B80" s="52" t="s">
        <v>88</v>
      </c>
      <c r="C80" s="52"/>
      <c r="D80" s="52"/>
      <c r="E80" s="52"/>
      <c r="F80" s="52"/>
      <c r="G80" s="52"/>
      <c r="H80" s="52"/>
      <c r="I80" s="282" t="n">
        <f aca="false">ROUND((((I43+I43/3)*(4/12))/12)*0.02,2)</f>
        <v>2.49</v>
      </c>
    </row>
    <row r="81" customFormat="false" ht="15.75" hidden="false" customHeight="false" outlineLevel="0" collapsed="false">
      <c r="A81" s="17" t="s">
        <v>10</v>
      </c>
      <c r="B81" s="83" t="s">
        <v>89</v>
      </c>
      <c r="C81" s="83"/>
      <c r="D81" s="83"/>
      <c r="E81" s="83"/>
      <c r="F81" s="83"/>
      <c r="G81" s="83"/>
      <c r="H81" s="83"/>
      <c r="I81" s="282" t="n">
        <f aca="false">ROUND(I80*H69,2)</f>
        <v>0.88</v>
      </c>
    </row>
    <row r="82" customFormat="false" ht="15.75" hidden="false" customHeight="false" outlineLevel="0" collapsed="false">
      <c r="A82" s="60" t="s">
        <v>76</v>
      </c>
      <c r="B82" s="60"/>
      <c r="C82" s="60"/>
      <c r="D82" s="60"/>
      <c r="E82" s="60"/>
      <c r="F82" s="60"/>
      <c r="G82" s="60"/>
      <c r="H82" s="60"/>
      <c r="I82" s="275" t="n">
        <f aca="false">SUM(I80:I81)</f>
        <v>3.37</v>
      </c>
    </row>
    <row r="83" customFormat="false" ht="15.75" hidden="false" customHeight="false" outlineLevel="0" collapsed="false">
      <c r="A83" s="79" t="s">
        <v>90</v>
      </c>
      <c r="B83" s="79"/>
      <c r="C83" s="79"/>
      <c r="D83" s="79"/>
      <c r="E83" s="79"/>
      <c r="F83" s="79"/>
      <c r="G83" s="79"/>
      <c r="H83" s="79"/>
      <c r="I83" s="79"/>
    </row>
    <row r="84" customFormat="false" ht="15.75" hidden="false" customHeight="false" outlineLevel="0" collapsed="false">
      <c r="A84" s="62" t="s">
        <v>91</v>
      </c>
      <c r="B84" s="81" t="s">
        <v>92</v>
      </c>
      <c r="C84" s="81"/>
      <c r="D84" s="81"/>
      <c r="E84" s="81"/>
      <c r="F84" s="81"/>
      <c r="G84" s="81"/>
      <c r="H84" s="81"/>
      <c r="I84" s="272" t="s">
        <v>35</v>
      </c>
    </row>
    <row r="85" customFormat="false" ht="25.5" hidden="false" customHeight="true" outlineLevel="0" collapsed="false">
      <c r="A85" s="17" t="s">
        <v>8</v>
      </c>
      <c r="B85" s="99" t="s">
        <v>93</v>
      </c>
      <c r="C85" s="99"/>
      <c r="D85" s="99"/>
      <c r="E85" s="99"/>
      <c r="F85" s="99"/>
      <c r="G85" s="99"/>
      <c r="H85" s="99"/>
      <c r="I85" s="273" t="n">
        <f aca="false">ROUND((I43/12)*(30/30)*0.05,2)</f>
        <v>14.02</v>
      </c>
    </row>
    <row r="86" customFormat="false" ht="15.75" hidden="false" customHeight="true" outlineLevel="0" collapsed="false">
      <c r="A86" s="17" t="s">
        <v>10</v>
      </c>
      <c r="B86" s="83" t="s">
        <v>94</v>
      </c>
      <c r="C86" s="83"/>
      <c r="D86" s="83"/>
      <c r="E86" s="83"/>
      <c r="F86" s="83"/>
      <c r="G86" s="83"/>
      <c r="H86" s="83"/>
      <c r="I86" s="273" t="n">
        <f aca="false">ROUND(I85*H66,2)</f>
        <v>1.12</v>
      </c>
    </row>
    <row r="87" customFormat="false" ht="49.5" hidden="false" customHeight="true" outlineLevel="0" collapsed="false">
      <c r="A87" s="17" t="s">
        <v>12</v>
      </c>
      <c r="B87" s="95" t="s">
        <v>95</v>
      </c>
      <c r="C87" s="95"/>
      <c r="D87" s="95"/>
      <c r="E87" s="95"/>
      <c r="F87" s="95"/>
      <c r="G87" s="95"/>
      <c r="H87" s="95"/>
      <c r="I87" s="285" t="n">
        <f aca="false">ROUND(0.0024*I43,2)</f>
        <v>8.08</v>
      </c>
      <c r="K87" s="66"/>
    </row>
    <row r="88" customFormat="false" ht="30.75" hidden="false" customHeight="true" outlineLevel="0" collapsed="false">
      <c r="A88" s="100" t="s">
        <v>14</v>
      </c>
      <c r="B88" s="99" t="s">
        <v>96</v>
      </c>
      <c r="C88" s="99"/>
      <c r="D88" s="99"/>
      <c r="E88" s="99"/>
      <c r="F88" s="99"/>
      <c r="G88" s="99"/>
      <c r="H88" s="99"/>
      <c r="I88" s="273" t="n">
        <v>0</v>
      </c>
      <c r="N88" s="101"/>
    </row>
    <row r="89" customFormat="false" ht="18" hidden="false" customHeight="true" outlineLevel="0" collapsed="false">
      <c r="A89" s="17" t="s">
        <v>40</v>
      </c>
      <c r="B89" s="83" t="s">
        <v>97</v>
      </c>
      <c r="C89" s="83"/>
      <c r="D89" s="83"/>
      <c r="E89" s="83"/>
      <c r="F89" s="83"/>
      <c r="G89" s="83"/>
      <c r="H89" s="83"/>
      <c r="I89" s="273" t="n">
        <f aca="false">ROUND(I88*H69,2)</f>
        <v>0</v>
      </c>
      <c r="J89" s="13"/>
      <c r="K89" s="13"/>
      <c r="L89" s="102"/>
    </row>
    <row r="90" customFormat="false" ht="48.75" hidden="false" customHeight="true" outlineLevel="0" collapsed="false">
      <c r="A90" s="17" t="s">
        <v>42</v>
      </c>
      <c r="B90" s="95" t="s">
        <v>98</v>
      </c>
      <c r="C90" s="95"/>
      <c r="D90" s="95"/>
      <c r="E90" s="95"/>
      <c r="F90" s="95"/>
      <c r="G90" s="95"/>
      <c r="H90" s="95"/>
      <c r="I90" s="285" t="n">
        <f aca="false">ROUND(0.0476*I43,2)</f>
        <v>160.19</v>
      </c>
      <c r="J90" s="13"/>
      <c r="K90" s="66"/>
      <c r="L90" s="13"/>
    </row>
    <row r="91" customFormat="false" ht="20.25" hidden="false" customHeight="true" outlineLevel="0" collapsed="false">
      <c r="A91" s="60" t="s">
        <v>76</v>
      </c>
      <c r="B91" s="60"/>
      <c r="C91" s="60"/>
      <c r="D91" s="60"/>
      <c r="E91" s="60"/>
      <c r="F91" s="60"/>
      <c r="G91" s="60"/>
      <c r="H91" s="60"/>
      <c r="I91" s="275" t="n">
        <f aca="false">SUM(I85:I90)</f>
        <v>183.41</v>
      </c>
    </row>
    <row r="92" customFormat="false" ht="20.25" hidden="false" customHeight="true" outlineLevel="0" collapsed="false">
      <c r="A92" s="79" t="s">
        <v>99</v>
      </c>
      <c r="B92" s="79"/>
      <c r="C92" s="79"/>
      <c r="D92" s="79"/>
      <c r="E92" s="79"/>
      <c r="F92" s="79"/>
      <c r="G92" s="79"/>
      <c r="H92" s="79"/>
      <c r="I92" s="79"/>
    </row>
    <row r="93" customFormat="false" ht="15.75" hidden="false" customHeight="false" outlineLevel="0" collapsed="false">
      <c r="A93" s="62" t="s">
        <v>100</v>
      </c>
      <c r="B93" s="81" t="s">
        <v>101</v>
      </c>
      <c r="C93" s="81"/>
      <c r="D93" s="81"/>
      <c r="E93" s="81"/>
      <c r="F93" s="81"/>
      <c r="G93" s="81"/>
      <c r="H93" s="81"/>
      <c r="I93" s="272" t="s">
        <v>35</v>
      </c>
    </row>
    <row r="94" customFormat="false" ht="49.5" hidden="false" customHeight="true" outlineLevel="0" collapsed="false">
      <c r="A94" s="17" t="s">
        <v>8</v>
      </c>
      <c r="B94" s="95" t="s">
        <v>102</v>
      </c>
      <c r="C94" s="95"/>
      <c r="D94" s="95"/>
      <c r="E94" s="95"/>
      <c r="F94" s="95"/>
      <c r="G94" s="95"/>
      <c r="H94" s="95"/>
      <c r="I94" s="285" t="n">
        <f aca="false">ROUND(0.121*I43,2)</f>
        <v>407.21</v>
      </c>
      <c r="K94" s="66"/>
    </row>
    <row r="95" customFormat="false" ht="17.25" hidden="false" customHeight="true" outlineLevel="0" collapsed="false">
      <c r="A95" s="17" t="s">
        <v>10</v>
      </c>
      <c r="B95" s="52" t="s">
        <v>103</v>
      </c>
      <c r="C95" s="52"/>
      <c r="D95" s="52"/>
      <c r="E95" s="52"/>
      <c r="F95" s="52"/>
      <c r="G95" s="52"/>
      <c r="H95" s="52"/>
      <c r="I95" s="273" t="n">
        <f aca="false">ROUND(((I43/30)*5)/12,2)</f>
        <v>46.74</v>
      </c>
    </row>
    <row r="96" customFormat="false" ht="16.5" hidden="false" customHeight="true" outlineLevel="0" collapsed="false">
      <c r="A96" s="17" t="s">
        <v>12</v>
      </c>
      <c r="B96" s="52" t="s">
        <v>104</v>
      </c>
      <c r="C96" s="52"/>
      <c r="D96" s="52"/>
      <c r="E96" s="52"/>
      <c r="F96" s="52"/>
      <c r="G96" s="52"/>
      <c r="H96" s="52"/>
      <c r="I96" s="273" t="n">
        <f aca="false">ROUND((((I43/30)*5)/12)*0.015,2)</f>
        <v>0.7</v>
      </c>
    </row>
    <row r="97" customFormat="false" ht="17.25" hidden="false" customHeight="true" outlineLevel="0" collapsed="false">
      <c r="A97" s="17" t="s">
        <v>14</v>
      </c>
      <c r="B97" s="52" t="s">
        <v>105</v>
      </c>
      <c r="C97" s="52"/>
      <c r="D97" s="52"/>
      <c r="E97" s="52"/>
      <c r="F97" s="52"/>
      <c r="G97" s="52"/>
      <c r="H97" s="52"/>
      <c r="I97" s="273" t="n">
        <f aca="false">ROUND(((I43/30)*2.96)/12,2)</f>
        <v>27.67</v>
      </c>
    </row>
    <row r="98" customFormat="false" ht="16.5" hidden="false" customHeight="true" outlineLevel="0" collapsed="false">
      <c r="A98" s="17" t="s">
        <v>40</v>
      </c>
      <c r="B98" s="52" t="s">
        <v>106</v>
      </c>
      <c r="C98" s="52"/>
      <c r="D98" s="52"/>
      <c r="E98" s="52"/>
      <c r="F98" s="52"/>
      <c r="G98" s="52"/>
      <c r="H98" s="52"/>
      <c r="I98" s="273" t="n">
        <f aca="false">ROUND((((I43/30)*15)/12)*0.0078,2)</f>
        <v>1.09</v>
      </c>
    </row>
    <row r="99" customFormat="false" ht="15.75" hidden="false" customHeight="false" outlineLevel="0" collapsed="false">
      <c r="A99" s="97" t="s">
        <v>83</v>
      </c>
      <c r="B99" s="97"/>
      <c r="C99" s="97"/>
      <c r="D99" s="97"/>
      <c r="E99" s="97"/>
      <c r="F99" s="97"/>
      <c r="G99" s="97"/>
      <c r="H99" s="97"/>
      <c r="I99" s="281" t="n">
        <f aca="false">SUM(I94:I98)</f>
        <v>483.41</v>
      </c>
      <c r="K99" s="66"/>
    </row>
    <row r="100" customFormat="false" ht="18" hidden="false" customHeight="true" outlineLevel="0" collapsed="false">
      <c r="A100" s="17" t="s">
        <v>70</v>
      </c>
      <c r="B100" s="83" t="s">
        <v>107</v>
      </c>
      <c r="C100" s="83"/>
      <c r="D100" s="83"/>
      <c r="E100" s="83"/>
      <c r="F100" s="83"/>
      <c r="G100" s="83"/>
      <c r="H100" s="83"/>
      <c r="I100" s="286" t="n">
        <f aca="false">ROUND(I99*H69,2)</f>
        <v>170.64</v>
      </c>
      <c r="K100" s="66"/>
    </row>
    <row r="101" customFormat="false" ht="15.75" hidden="false" customHeight="false" outlineLevel="0" collapsed="false">
      <c r="A101" s="60" t="s">
        <v>76</v>
      </c>
      <c r="B101" s="60"/>
      <c r="C101" s="60"/>
      <c r="D101" s="60"/>
      <c r="E101" s="60"/>
      <c r="F101" s="60"/>
      <c r="G101" s="60"/>
      <c r="H101" s="60"/>
      <c r="I101" s="275" t="n">
        <f aca="false">SUM(I99+I100)</f>
        <v>654.05</v>
      </c>
      <c r="K101" s="66"/>
    </row>
    <row r="102" customFormat="false" ht="15.75" hidden="false" customHeight="false" outlineLevel="0" collapsed="false">
      <c r="A102" s="104" t="s">
        <v>108</v>
      </c>
      <c r="B102" s="104"/>
      <c r="C102" s="104"/>
      <c r="D102" s="104"/>
      <c r="E102" s="104"/>
      <c r="F102" s="104"/>
      <c r="G102" s="104"/>
      <c r="H102" s="104"/>
      <c r="I102" s="104"/>
    </row>
    <row r="103" customFormat="false" ht="15.75" hidden="false" customHeight="false" outlineLevel="0" collapsed="false">
      <c r="A103" s="62" t="n">
        <v>4</v>
      </c>
      <c r="B103" s="81" t="s">
        <v>109</v>
      </c>
      <c r="C103" s="81"/>
      <c r="D103" s="81"/>
      <c r="E103" s="81"/>
      <c r="F103" s="81"/>
      <c r="G103" s="81"/>
      <c r="H103" s="81"/>
      <c r="I103" s="272" t="s">
        <v>35</v>
      </c>
    </row>
    <row r="104" customFormat="false" ht="15.75" hidden="false" customHeight="false" outlineLevel="0" collapsed="false">
      <c r="A104" s="17" t="s">
        <v>61</v>
      </c>
      <c r="B104" s="83" t="s">
        <v>62</v>
      </c>
      <c r="C104" s="83"/>
      <c r="D104" s="83"/>
      <c r="E104" s="83"/>
      <c r="F104" s="83"/>
      <c r="G104" s="83"/>
      <c r="H104" s="83"/>
      <c r="I104" s="282" t="n">
        <f aca="false">I69</f>
        <v>1048.18</v>
      </c>
    </row>
    <row r="105" customFormat="false" ht="15.75" hidden="false" customHeight="false" outlineLevel="0" collapsed="false">
      <c r="A105" s="17" t="s">
        <v>80</v>
      </c>
      <c r="B105" s="83" t="s">
        <v>110</v>
      </c>
      <c r="C105" s="83"/>
      <c r="D105" s="83"/>
      <c r="E105" s="83"/>
      <c r="F105" s="83"/>
      <c r="G105" s="83"/>
      <c r="H105" s="83"/>
      <c r="I105" s="282" t="n">
        <f aca="false">I77</f>
        <v>379.44</v>
      </c>
    </row>
    <row r="106" customFormat="false" ht="15.75" hidden="false" customHeight="false" outlineLevel="0" collapsed="false">
      <c r="A106" s="17" t="s">
        <v>86</v>
      </c>
      <c r="B106" s="83" t="s">
        <v>87</v>
      </c>
      <c r="C106" s="83"/>
      <c r="D106" s="83"/>
      <c r="E106" s="83"/>
      <c r="F106" s="83"/>
      <c r="G106" s="83"/>
      <c r="H106" s="83"/>
      <c r="I106" s="282" t="n">
        <f aca="false">I82</f>
        <v>3.37</v>
      </c>
    </row>
    <row r="107" customFormat="false" ht="15.75" hidden="false" customHeight="false" outlineLevel="0" collapsed="false">
      <c r="A107" s="17" t="s">
        <v>91</v>
      </c>
      <c r="B107" s="83" t="s">
        <v>111</v>
      </c>
      <c r="C107" s="83"/>
      <c r="D107" s="83"/>
      <c r="E107" s="83"/>
      <c r="F107" s="83"/>
      <c r="G107" s="83"/>
      <c r="H107" s="83"/>
      <c r="I107" s="282" t="n">
        <f aca="false">I91</f>
        <v>183.41</v>
      </c>
    </row>
    <row r="108" customFormat="false" ht="15.75" hidden="false" customHeight="false" outlineLevel="0" collapsed="false">
      <c r="A108" s="17" t="s">
        <v>100</v>
      </c>
      <c r="B108" s="83" t="s">
        <v>112</v>
      </c>
      <c r="C108" s="83"/>
      <c r="D108" s="83"/>
      <c r="E108" s="83"/>
      <c r="F108" s="83"/>
      <c r="G108" s="83"/>
      <c r="H108" s="83"/>
      <c r="I108" s="282" t="n">
        <f aca="false">I101</f>
        <v>654.05</v>
      </c>
    </row>
    <row r="109" customFormat="false" ht="15.75" hidden="false" customHeight="false" outlineLevel="0" collapsed="false">
      <c r="A109" s="60" t="s">
        <v>76</v>
      </c>
      <c r="B109" s="60"/>
      <c r="C109" s="60"/>
      <c r="D109" s="60"/>
      <c r="E109" s="60"/>
      <c r="F109" s="60"/>
      <c r="G109" s="60"/>
      <c r="H109" s="60"/>
      <c r="I109" s="275" t="n">
        <f aca="false">SUM(I104:I108)</f>
        <v>2268.45</v>
      </c>
      <c r="K109" s="106"/>
    </row>
    <row r="110" customFormat="false" ht="16.5" hidden="false" customHeight="true" outlineLevel="0" collapsed="false">
      <c r="A110" s="107" t="s">
        <v>113</v>
      </c>
      <c r="B110" s="107"/>
      <c r="C110" s="107"/>
      <c r="D110" s="107"/>
      <c r="E110" s="107"/>
      <c r="F110" s="107"/>
      <c r="G110" s="107"/>
      <c r="H110" s="107"/>
      <c r="I110" s="107"/>
    </row>
    <row r="111" customFormat="false" ht="15.75" hidden="false" customHeight="false" outlineLevel="0" collapsed="false">
      <c r="A111" s="62" t="n">
        <v>5</v>
      </c>
      <c r="B111" s="63" t="s">
        <v>114</v>
      </c>
      <c r="C111" s="63"/>
      <c r="D111" s="63"/>
      <c r="E111" s="63"/>
      <c r="F111" s="63"/>
      <c r="G111" s="63"/>
      <c r="H111" s="108" t="s">
        <v>63</v>
      </c>
      <c r="I111" s="272" t="s">
        <v>35</v>
      </c>
    </row>
    <row r="112" customFormat="false" ht="48.75" hidden="false" customHeight="true" outlineLevel="0" collapsed="false">
      <c r="A112" s="109" t="s">
        <v>115</v>
      </c>
      <c r="B112" s="109"/>
      <c r="C112" s="109"/>
      <c r="D112" s="109"/>
      <c r="E112" s="109"/>
      <c r="F112" s="109"/>
      <c r="G112" s="109"/>
      <c r="H112" s="110" t="n">
        <v>0</v>
      </c>
      <c r="I112" s="287" t="n">
        <f aca="false">(I43+I52+I57+I109)</f>
        <v>6601.60825</v>
      </c>
    </row>
    <row r="113" customFormat="false" ht="15.75" hidden="false" customHeight="false" outlineLevel="0" collapsed="false">
      <c r="A113" s="17" t="s">
        <v>8</v>
      </c>
      <c r="B113" s="83" t="s">
        <v>116</v>
      </c>
      <c r="C113" s="83"/>
      <c r="D113" s="83"/>
      <c r="E113" s="83"/>
      <c r="F113" s="83"/>
      <c r="G113" s="83"/>
      <c r="H113" s="112" t="n">
        <f aca="false">'Alegrete 1.1'!H110</f>
        <v>0.1207</v>
      </c>
      <c r="I113" s="273" t="n">
        <f aca="false">ROUND(I112*H113,2)</f>
        <v>796.81</v>
      </c>
      <c r="J113" s="113"/>
    </row>
    <row r="114" customFormat="false" ht="55.5" hidden="false" customHeight="true" outlineLevel="0" collapsed="false">
      <c r="A114" s="109" t="s">
        <v>117</v>
      </c>
      <c r="B114" s="109"/>
      <c r="C114" s="109"/>
      <c r="D114" s="109"/>
      <c r="E114" s="109"/>
      <c r="F114" s="109"/>
      <c r="G114" s="109"/>
      <c r="H114" s="114" t="n">
        <v>0</v>
      </c>
      <c r="I114" s="288" t="n">
        <f aca="false">I112+I113</f>
        <v>7398.41825</v>
      </c>
      <c r="J114" s="113"/>
    </row>
    <row r="115" customFormat="false" ht="15.75" hidden="false" customHeight="false" outlineLevel="0" collapsed="false">
      <c r="A115" s="17" t="s">
        <v>10</v>
      </c>
      <c r="B115" s="83" t="s">
        <v>118</v>
      </c>
      <c r="C115" s="83"/>
      <c r="D115" s="83"/>
      <c r="E115" s="83"/>
      <c r="F115" s="83"/>
      <c r="G115" s="83"/>
      <c r="H115" s="112" t="n">
        <f aca="false">'Alegrete 1.1'!H112</f>
        <v>0.0818</v>
      </c>
      <c r="I115" s="273" t="n">
        <f aca="false">ROUND(I114*H115,2)</f>
        <v>605.19</v>
      </c>
      <c r="J115" s="116"/>
    </row>
    <row r="116" customFormat="false" ht="51.75" hidden="false" customHeight="true" outlineLevel="0" collapsed="false">
      <c r="A116" s="109" t="s">
        <v>119</v>
      </c>
      <c r="B116" s="109"/>
      <c r="C116" s="109"/>
      <c r="D116" s="109"/>
      <c r="E116" s="109"/>
      <c r="F116" s="109"/>
      <c r="G116" s="109"/>
      <c r="H116" s="117" t="n">
        <v>0</v>
      </c>
      <c r="I116" s="289" t="n">
        <f aca="false">I114+I115</f>
        <v>8003.60825</v>
      </c>
      <c r="J116" s="116"/>
    </row>
    <row r="117" customFormat="false" ht="15.75" hidden="false" customHeight="false" outlineLevel="0" collapsed="false">
      <c r="A117" s="17" t="s">
        <v>12</v>
      </c>
      <c r="B117" s="83" t="s">
        <v>120</v>
      </c>
      <c r="C117" s="83"/>
      <c r="D117" s="83"/>
      <c r="E117" s="83"/>
      <c r="F117" s="83"/>
      <c r="G117" s="83"/>
      <c r="H117" s="119" t="s">
        <v>198</v>
      </c>
      <c r="I117" s="290" t="s">
        <v>198</v>
      </c>
      <c r="J117" s="116"/>
    </row>
    <row r="118" customFormat="false" ht="15.75" hidden="false" customHeight="false" outlineLevel="0" collapsed="false">
      <c r="A118" s="17"/>
      <c r="B118" s="83" t="s">
        <v>121</v>
      </c>
      <c r="C118" s="83"/>
      <c r="D118" s="83"/>
      <c r="E118" s="83"/>
      <c r="F118" s="83"/>
      <c r="G118" s="83"/>
      <c r="H118" s="119" t="s">
        <v>198</v>
      </c>
      <c r="I118" s="290" t="s">
        <v>198</v>
      </c>
    </row>
    <row r="119" customFormat="false" ht="29.25" hidden="false" customHeight="true" outlineLevel="0" collapsed="false">
      <c r="A119" s="17"/>
      <c r="B119" s="67" t="s">
        <v>199</v>
      </c>
      <c r="C119" s="67"/>
      <c r="D119" s="67"/>
      <c r="E119" s="67"/>
      <c r="F119" s="67"/>
      <c r="G119" s="67"/>
      <c r="H119" s="121" t="n">
        <v>0.03</v>
      </c>
      <c r="I119" s="273" t="n">
        <f aca="false">ROUND(($I$116/(1-H126))*H119,2)</f>
        <v>258.6</v>
      </c>
    </row>
    <row r="120" customFormat="false" ht="25.5" hidden="false" customHeight="true" outlineLevel="0" collapsed="false">
      <c r="A120" s="17"/>
      <c r="B120" s="67" t="s">
        <v>200</v>
      </c>
      <c r="C120" s="67"/>
      <c r="D120" s="67"/>
      <c r="E120" s="67"/>
      <c r="F120" s="67"/>
      <c r="G120" s="67"/>
      <c r="H120" s="121" t="n">
        <v>0.0065</v>
      </c>
      <c r="I120" s="273" t="n">
        <f aca="false">ROUND(($I$116/(1-H126))*H120,2)</f>
        <v>56.03</v>
      </c>
      <c r="K120" s="66"/>
    </row>
    <row r="121" customFormat="false" ht="30" hidden="false" customHeight="true" outlineLevel="0" collapsed="false">
      <c r="A121" s="17"/>
      <c r="B121" s="122" t="s">
        <v>124</v>
      </c>
      <c r="C121" s="122"/>
      <c r="D121" s="122"/>
      <c r="E121" s="122"/>
      <c r="F121" s="122"/>
      <c r="G121" s="122"/>
      <c r="H121" s="121" t="s">
        <v>198</v>
      </c>
      <c r="I121" s="290" t="s">
        <v>198</v>
      </c>
      <c r="K121" s="66"/>
    </row>
    <row r="122" customFormat="false" ht="15.75" hidden="false" customHeight="false" outlineLevel="0" collapsed="false">
      <c r="A122" s="17"/>
      <c r="B122" s="83" t="s">
        <v>125</v>
      </c>
      <c r="C122" s="83"/>
      <c r="D122" s="83"/>
      <c r="E122" s="83"/>
      <c r="F122" s="83"/>
      <c r="G122" s="83"/>
      <c r="H122" s="119" t="s">
        <v>198</v>
      </c>
      <c r="I122" s="290" t="s">
        <v>198</v>
      </c>
    </row>
    <row r="123" customFormat="false" ht="15.75" hidden="false" customHeight="false" outlineLevel="0" collapsed="false">
      <c r="A123" s="17"/>
      <c r="B123" s="83" t="s">
        <v>126</v>
      </c>
      <c r="C123" s="83"/>
      <c r="D123" s="83"/>
      <c r="E123" s="83"/>
      <c r="F123" s="83"/>
      <c r="G123" s="83"/>
      <c r="H123" s="119" t="s">
        <v>198</v>
      </c>
      <c r="I123" s="290" t="s">
        <v>198</v>
      </c>
      <c r="K123" s="66"/>
    </row>
    <row r="124" customFormat="false" ht="15.75" hidden="false" customHeight="false" outlineLevel="0" collapsed="false">
      <c r="A124" s="17"/>
      <c r="B124" s="52" t="s">
        <v>241</v>
      </c>
      <c r="C124" s="52"/>
      <c r="D124" s="52"/>
      <c r="E124" s="52"/>
      <c r="F124" s="52"/>
      <c r="G124" s="52"/>
      <c r="H124" s="124" t="n">
        <v>0.035</v>
      </c>
      <c r="I124" s="273" t="n">
        <f aca="false">ROUND(($I$116/(1-H126))*H124,2)</f>
        <v>301.7</v>
      </c>
    </row>
    <row r="125" customFormat="false" ht="15.75" hidden="false" customHeight="false" outlineLevel="0" collapsed="false">
      <c r="A125" s="125" t="s">
        <v>76</v>
      </c>
      <c r="B125" s="125"/>
      <c r="C125" s="125"/>
      <c r="D125" s="125"/>
      <c r="E125" s="125"/>
      <c r="F125" s="125"/>
      <c r="G125" s="125"/>
      <c r="H125" s="125"/>
      <c r="I125" s="291" t="n">
        <f aca="false">I113+I115+I119+I120+I124</f>
        <v>2018.33</v>
      </c>
    </row>
    <row r="126" customFormat="false" ht="15.75" hidden="false" customHeight="false" outlineLevel="0" collapsed="false">
      <c r="A126" s="127" t="s">
        <v>128</v>
      </c>
      <c r="B126" s="127"/>
      <c r="C126" s="127"/>
      <c r="D126" s="127"/>
      <c r="E126" s="127"/>
      <c r="F126" s="127"/>
      <c r="G126" s="127"/>
      <c r="H126" s="128" t="n">
        <f aca="false">SUM(H119:H124)</f>
        <v>0.0715</v>
      </c>
      <c r="I126" s="292" t="n">
        <f aca="false">SUM(I119+I120+I124)</f>
        <v>616.33</v>
      </c>
    </row>
    <row r="127" customFormat="false" ht="15.75" hidden="false" customHeight="false" outlineLevel="0" collapsed="false">
      <c r="A127" s="130" t="s">
        <v>129</v>
      </c>
      <c r="B127" s="130"/>
      <c r="C127" s="293" t="s">
        <v>130</v>
      </c>
      <c r="D127" s="293"/>
      <c r="E127" s="293"/>
      <c r="F127" s="293"/>
      <c r="G127" s="293"/>
      <c r="H127" s="293"/>
      <c r="I127" s="293"/>
    </row>
    <row r="128" customFormat="false" ht="15" hidden="false" customHeight="false" outlineLevel="0" collapsed="false">
      <c r="A128" s="130"/>
      <c r="B128" s="130"/>
      <c r="C128" s="294" t="s">
        <v>131</v>
      </c>
      <c r="D128" s="294"/>
      <c r="E128" s="294"/>
      <c r="F128" s="294"/>
      <c r="G128" s="294"/>
      <c r="H128" s="294"/>
      <c r="I128" s="294"/>
    </row>
    <row r="129" customFormat="false" ht="15.75" hidden="false" customHeight="false" outlineLevel="0" collapsed="false">
      <c r="A129" s="133" t="s">
        <v>132</v>
      </c>
      <c r="B129" s="133"/>
      <c r="C129" s="133"/>
      <c r="D129" s="133"/>
      <c r="E129" s="133"/>
      <c r="F129" s="133"/>
      <c r="G129" s="133"/>
      <c r="H129" s="133"/>
      <c r="I129" s="133"/>
    </row>
    <row r="130" customFormat="false" ht="15.75" hidden="false" customHeight="false" outlineLevel="0" collapsed="false">
      <c r="A130" s="94" t="s">
        <v>133</v>
      </c>
      <c r="B130" s="94"/>
      <c r="C130" s="94"/>
      <c r="D130" s="94"/>
      <c r="E130" s="94"/>
      <c r="F130" s="94"/>
      <c r="G130" s="94"/>
      <c r="H130" s="94"/>
      <c r="I130" s="94"/>
    </row>
    <row r="131" customFormat="false" ht="15.75" hidden="false" customHeight="false" outlineLevel="0" collapsed="false">
      <c r="A131" s="295"/>
      <c r="B131" s="295"/>
      <c r="C131" s="295"/>
      <c r="D131" s="295"/>
      <c r="E131" s="295"/>
      <c r="F131" s="295"/>
      <c r="G131" s="295"/>
      <c r="H131" s="295"/>
      <c r="I131" s="295"/>
    </row>
    <row r="132" customFormat="false" ht="15.75" hidden="false" customHeight="false" outlineLevel="0" collapsed="false">
      <c r="A132" s="33" t="s">
        <v>134</v>
      </c>
      <c r="B132" s="33"/>
      <c r="C132" s="33"/>
      <c r="D132" s="33"/>
      <c r="E132" s="33"/>
      <c r="F132" s="33"/>
      <c r="G132" s="33"/>
      <c r="H132" s="33"/>
      <c r="I132" s="33"/>
    </row>
    <row r="133" customFormat="false" ht="15.75" hidden="false" customHeight="false" outlineLevel="0" collapsed="false">
      <c r="A133" s="135" t="s">
        <v>135</v>
      </c>
      <c r="B133" s="135"/>
      <c r="C133" s="135"/>
      <c r="D133" s="135"/>
      <c r="E133" s="135"/>
      <c r="F133" s="135"/>
      <c r="G133" s="135"/>
      <c r="H133" s="135"/>
      <c r="I133" s="135"/>
    </row>
    <row r="134" customFormat="false" ht="15.75" hidden="false" customHeight="false" outlineLevel="0" collapsed="false">
      <c r="A134" s="136" t="s">
        <v>136</v>
      </c>
      <c r="B134" s="136"/>
      <c r="C134" s="136"/>
      <c r="D134" s="136"/>
      <c r="E134" s="136"/>
      <c r="F134" s="136"/>
      <c r="G134" s="136"/>
      <c r="H134" s="136"/>
      <c r="I134" s="296" t="s">
        <v>35</v>
      </c>
    </row>
    <row r="135" customFormat="false" ht="15.75" hidden="false" customHeight="false" outlineLevel="0" collapsed="false">
      <c r="A135" s="14" t="s">
        <v>8</v>
      </c>
      <c r="B135" s="15" t="s">
        <v>137</v>
      </c>
      <c r="C135" s="15"/>
      <c r="D135" s="15"/>
      <c r="E135" s="15"/>
      <c r="F135" s="15"/>
      <c r="G135" s="15"/>
      <c r="H135" s="15"/>
      <c r="I135" s="297" t="n">
        <f aca="false">I43</f>
        <v>3365.332</v>
      </c>
    </row>
    <row r="136" customFormat="false" ht="15.75" hidden="false" customHeight="false" outlineLevel="0" collapsed="false">
      <c r="A136" s="14" t="s">
        <v>10</v>
      </c>
      <c r="B136" s="15" t="s">
        <v>138</v>
      </c>
      <c r="C136" s="15"/>
      <c r="D136" s="15"/>
      <c r="E136" s="15"/>
      <c r="F136" s="15"/>
      <c r="G136" s="15"/>
      <c r="H136" s="15"/>
      <c r="I136" s="297" t="n">
        <f aca="false">I52</f>
        <v>830.15</v>
      </c>
    </row>
    <row r="137" customFormat="false" ht="15.75" hidden="false" customHeight="false" outlineLevel="0" collapsed="false">
      <c r="A137" s="14" t="s">
        <v>12</v>
      </c>
      <c r="B137" s="15" t="s">
        <v>139</v>
      </c>
      <c r="C137" s="15"/>
      <c r="D137" s="15"/>
      <c r="E137" s="15"/>
      <c r="F137" s="15"/>
      <c r="G137" s="15"/>
      <c r="H137" s="15"/>
      <c r="I137" s="298" t="n">
        <f aca="false">I57</f>
        <v>137.67625</v>
      </c>
    </row>
    <row r="138" customFormat="false" ht="15.75" hidden="false" customHeight="false" outlineLevel="0" collapsed="false">
      <c r="A138" s="14" t="s">
        <v>14</v>
      </c>
      <c r="B138" s="15" t="s">
        <v>109</v>
      </c>
      <c r="C138" s="15"/>
      <c r="D138" s="15"/>
      <c r="E138" s="15"/>
      <c r="F138" s="15"/>
      <c r="G138" s="15"/>
      <c r="H138" s="15"/>
      <c r="I138" s="297" t="n">
        <f aca="false">I109</f>
        <v>2268.45</v>
      </c>
    </row>
    <row r="139" customFormat="false" ht="15.75" hidden="false" customHeight="false" outlineLevel="0" collapsed="false">
      <c r="A139" s="140" t="s">
        <v>140</v>
      </c>
      <c r="B139" s="140"/>
      <c r="C139" s="140"/>
      <c r="D139" s="140"/>
      <c r="E139" s="140"/>
      <c r="F139" s="140"/>
      <c r="G139" s="140"/>
      <c r="H139" s="140"/>
      <c r="I139" s="299" t="n">
        <f aca="false">SUM(I135:I138)</f>
        <v>6601.60825</v>
      </c>
    </row>
    <row r="140" customFormat="false" ht="15.75" hidden="false" customHeight="false" outlineLevel="0" collapsed="false">
      <c r="A140" s="14" t="s">
        <v>40</v>
      </c>
      <c r="B140" s="15" t="s">
        <v>141</v>
      </c>
      <c r="C140" s="15"/>
      <c r="D140" s="15"/>
      <c r="E140" s="15"/>
      <c r="F140" s="15"/>
      <c r="G140" s="15"/>
      <c r="H140" s="15"/>
      <c r="I140" s="297" t="n">
        <f aca="false">I125</f>
        <v>2018.33</v>
      </c>
    </row>
    <row r="141" customFormat="false" ht="15.75" hidden="false" customHeight="false" outlineLevel="0" collapsed="false">
      <c r="A141" s="143" t="s">
        <v>142</v>
      </c>
      <c r="B141" s="143"/>
      <c r="C141" s="143"/>
      <c r="D141" s="143"/>
      <c r="E141" s="143"/>
      <c r="F141" s="143"/>
      <c r="G141" s="143"/>
      <c r="H141" s="143"/>
      <c r="I141" s="300" t="n">
        <f aca="false">SUM(I139+I140)</f>
        <v>8619.93825</v>
      </c>
    </row>
    <row r="142" customFormat="false" ht="15.75" hidden="false" customHeight="false" outlineLevel="0" collapsed="false">
      <c r="A142" s="301"/>
      <c r="B142" s="301"/>
      <c r="C142" s="301"/>
      <c r="D142" s="301"/>
      <c r="E142" s="301"/>
      <c r="F142" s="301"/>
      <c r="G142" s="301"/>
      <c r="H142" s="301"/>
      <c r="I142" s="301"/>
    </row>
    <row r="143" customFormat="false" ht="15.75" hidden="false" customHeight="false" outlineLevel="0" collapsed="false">
      <c r="A143" s="33" t="s">
        <v>143</v>
      </c>
      <c r="B143" s="33"/>
      <c r="C143" s="33"/>
      <c r="D143" s="33"/>
      <c r="E143" s="33"/>
      <c r="F143" s="33"/>
      <c r="G143" s="33"/>
      <c r="H143" s="33"/>
      <c r="I143" s="33"/>
    </row>
    <row r="144" customFormat="false" ht="15.75" hidden="false" customHeight="false" outlineLevel="0" collapsed="false">
      <c r="A144" s="146" t="s">
        <v>144</v>
      </c>
      <c r="B144" s="146"/>
      <c r="C144" s="146"/>
      <c r="D144" s="146"/>
      <c r="E144" s="146"/>
      <c r="F144" s="146"/>
      <c r="G144" s="146"/>
      <c r="H144" s="146"/>
      <c r="I144" s="146"/>
    </row>
    <row r="145" customFormat="false" ht="66.75" hidden="false" customHeight="true" outlineLevel="0" collapsed="false">
      <c r="A145" s="147" t="s">
        <v>145</v>
      </c>
      <c r="B145" s="147"/>
      <c r="C145" s="148" t="s">
        <v>146</v>
      </c>
      <c r="D145" s="148"/>
      <c r="E145" s="149" t="s">
        <v>147</v>
      </c>
      <c r="F145" s="148" t="s">
        <v>148</v>
      </c>
      <c r="G145" s="148"/>
      <c r="H145" s="148" t="s">
        <v>149</v>
      </c>
      <c r="I145" s="302" t="s">
        <v>150</v>
      </c>
    </row>
    <row r="146" customFormat="false" ht="22.5" hidden="false" customHeight="true" outlineLevel="0" collapsed="false">
      <c r="A146" s="151" t="s">
        <v>26</v>
      </c>
      <c r="B146" s="151"/>
      <c r="C146" s="152" t="n">
        <f aca="false">I141</f>
        <v>8619.93825</v>
      </c>
      <c r="D146" s="152"/>
      <c r="E146" s="153" t="n">
        <v>2</v>
      </c>
      <c r="F146" s="154" t="n">
        <f aca="false">C146</f>
        <v>8619.93825</v>
      </c>
      <c r="G146" s="154"/>
      <c r="H146" s="155" t="n">
        <v>3</v>
      </c>
      <c r="I146" s="303" t="n">
        <f aca="false">F146*H146</f>
        <v>25859.81475</v>
      </c>
    </row>
    <row r="147" customFormat="false" ht="15.75" hidden="false" customHeight="false" outlineLevel="0" collapsed="false">
      <c r="A147" s="301"/>
      <c r="B147" s="301"/>
      <c r="C147" s="301"/>
      <c r="D147" s="301"/>
      <c r="E147" s="301"/>
      <c r="F147" s="301"/>
      <c r="G147" s="301"/>
      <c r="H147" s="301"/>
      <c r="I147" s="301"/>
    </row>
    <row r="148" customFormat="false" ht="15.75" hidden="false" customHeight="false" outlineLevel="0" collapsed="false">
      <c r="A148" s="33" t="s">
        <v>151</v>
      </c>
      <c r="B148" s="33"/>
      <c r="C148" s="33"/>
      <c r="D148" s="33"/>
      <c r="E148" s="33"/>
      <c r="F148" s="33"/>
      <c r="G148" s="33"/>
      <c r="H148" s="33"/>
      <c r="I148" s="33"/>
    </row>
    <row r="149" customFormat="false" ht="15.75" hidden="false" customHeight="false" outlineLevel="0" collapsed="false">
      <c r="A149" s="146" t="s">
        <v>152</v>
      </c>
      <c r="B149" s="146"/>
      <c r="C149" s="146"/>
      <c r="D149" s="146"/>
      <c r="E149" s="146"/>
      <c r="F149" s="146"/>
      <c r="G149" s="146"/>
      <c r="H149" s="146"/>
      <c r="I149" s="146"/>
    </row>
    <row r="150" customFormat="false" ht="15.75" hidden="false" customHeight="false" outlineLevel="0" collapsed="false">
      <c r="A150" s="157" t="s">
        <v>153</v>
      </c>
      <c r="B150" s="157"/>
      <c r="C150" s="157"/>
      <c r="D150" s="157"/>
      <c r="E150" s="157"/>
      <c r="F150" s="157"/>
      <c r="G150" s="157"/>
      <c r="H150" s="157"/>
      <c r="I150" s="157"/>
    </row>
    <row r="151" customFormat="false" ht="15.75" hidden="false" customHeight="false" outlineLevel="0" collapsed="false">
      <c r="A151" s="158" t="s">
        <v>8</v>
      </c>
      <c r="B151" s="15" t="s">
        <v>154</v>
      </c>
      <c r="C151" s="15"/>
      <c r="D151" s="15"/>
      <c r="E151" s="15"/>
      <c r="F151" s="15"/>
      <c r="G151" s="15"/>
      <c r="H151" s="15"/>
      <c r="I151" s="304" t="n">
        <f aca="false">F146</f>
        <v>8619.93825</v>
      </c>
    </row>
    <row r="152" customFormat="false" ht="15.75" hidden="false" customHeight="false" outlineLevel="0" collapsed="false">
      <c r="A152" s="158" t="s">
        <v>10</v>
      </c>
      <c r="B152" s="15" t="s">
        <v>155</v>
      </c>
      <c r="C152" s="15"/>
      <c r="D152" s="15"/>
      <c r="E152" s="15"/>
      <c r="F152" s="15"/>
      <c r="G152" s="15"/>
      <c r="H152" s="15"/>
      <c r="I152" s="305" t="n">
        <f aca="false">I146</f>
        <v>25859.81475</v>
      </c>
    </row>
    <row r="153" customFormat="false" ht="16.5" hidden="false" customHeight="true" outlineLevel="0" collapsed="false">
      <c r="A153" s="161" t="s">
        <v>12</v>
      </c>
      <c r="B153" s="162" t="s">
        <v>156</v>
      </c>
      <c r="C153" s="162"/>
      <c r="D153" s="162"/>
      <c r="E153" s="162"/>
      <c r="F153" s="162"/>
      <c r="G153" s="162"/>
      <c r="H153" s="162"/>
      <c r="I153" s="306" t="n">
        <f aca="false">I152*12</f>
        <v>310317.777</v>
      </c>
    </row>
  </sheetData>
  <mergeCells count="158">
    <mergeCell ref="A8:I8"/>
    <mergeCell ref="A9:I9"/>
    <mergeCell ref="A10:I10"/>
    <mergeCell ref="A11:I11"/>
    <mergeCell ref="A12:I12"/>
    <mergeCell ref="A13:I13"/>
    <mergeCell ref="A14:I14"/>
    <mergeCell ref="B15:H15"/>
    <mergeCell ref="B16:H16"/>
    <mergeCell ref="B17:H17"/>
    <mergeCell ref="B18:H18"/>
    <mergeCell ref="A19:I19"/>
    <mergeCell ref="A20:D20"/>
    <mergeCell ref="E20:F20"/>
    <mergeCell ref="G20:I20"/>
    <mergeCell ref="A21:D21"/>
    <mergeCell ref="E21:F22"/>
    <mergeCell ref="G21:I22"/>
    <mergeCell ref="A22:D22"/>
    <mergeCell ref="B23:I23"/>
    <mergeCell ref="A24:I24"/>
    <mergeCell ref="A25:I25"/>
    <mergeCell ref="A26:I26"/>
    <mergeCell ref="B27:H27"/>
    <mergeCell ref="B28:H28"/>
    <mergeCell ref="B29:H29"/>
    <mergeCell ref="B30:H30"/>
    <mergeCell ref="B31:H31"/>
    <mergeCell ref="B32:H32"/>
    <mergeCell ref="B33:H33"/>
    <mergeCell ref="A34:I34"/>
    <mergeCell ref="A35:I35"/>
    <mergeCell ref="B36:H36"/>
    <mergeCell ref="B37:H37"/>
    <mergeCell ref="B38:H38"/>
    <mergeCell ref="B39:H39"/>
    <mergeCell ref="B40:H40"/>
    <mergeCell ref="B41:H41"/>
    <mergeCell ref="B42:H42"/>
    <mergeCell ref="A43:H43"/>
    <mergeCell ref="A44:I44"/>
    <mergeCell ref="B45:H45"/>
    <mergeCell ref="A46:A48"/>
    <mergeCell ref="B46:H46"/>
    <mergeCell ref="B47:G47"/>
    <mergeCell ref="B48:G48"/>
    <mergeCell ref="A49:A50"/>
    <mergeCell ref="B49:H49"/>
    <mergeCell ref="B50:G50"/>
    <mergeCell ref="B51:H51"/>
    <mergeCell ref="A52:H52"/>
    <mergeCell ref="A53:I53"/>
    <mergeCell ref="A54:I54"/>
    <mergeCell ref="B55:H55"/>
    <mergeCell ref="B56:H56"/>
    <mergeCell ref="A57:H57"/>
    <mergeCell ref="A58:I58"/>
    <mergeCell ref="A59:I59"/>
    <mergeCell ref="B60:G60"/>
    <mergeCell ref="B61:G61"/>
    <mergeCell ref="B62:G62"/>
    <mergeCell ref="B63:G63"/>
    <mergeCell ref="B64:G64"/>
    <mergeCell ref="B65:G65"/>
    <mergeCell ref="B66:G66"/>
    <mergeCell ref="B67:E67"/>
    <mergeCell ref="B68:G68"/>
    <mergeCell ref="A69:G69"/>
    <mergeCell ref="A70:I70"/>
    <mergeCell ref="A71:I71"/>
    <mergeCell ref="A72:I72"/>
    <mergeCell ref="B73:H73"/>
    <mergeCell ref="B74:H74"/>
    <mergeCell ref="A75:H75"/>
    <mergeCell ref="B76:H76"/>
    <mergeCell ref="A77:H77"/>
    <mergeCell ref="A78:I78"/>
    <mergeCell ref="B79:H79"/>
    <mergeCell ref="B80:H80"/>
    <mergeCell ref="B81:H81"/>
    <mergeCell ref="A82:H82"/>
    <mergeCell ref="A83:I83"/>
    <mergeCell ref="B84:H84"/>
    <mergeCell ref="B85:H85"/>
    <mergeCell ref="B86:H86"/>
    <mergeCell ref="B87:H87"/>
    <mergeCell ref="B88:H88"/>
    <mergeCell ref="B89:H89"/>
    <mergeCell ref="B90:H90"/>
    <mergeCell ref="A91:H91"/>
    <mergeCell ref="A92:I92"/>
    <mergeCell ref="B93:H93"/>
    <mergeCell ref="B94:H94"/>
    <mergeCell ref="B95:H95"/>
    <mergeCell ref="B96:H96"/>
    <mergeCell ref="B97:H97"/>
    <mergeCell ref="B98:H98"/>
    <mergeCell ref="A99:H99"/>
    <mergeCell ref="B100:H100"/>
    <mergeCell ref="A101:H101"/>
    <mergeCell ref="A102:I102"/>
    <mergeCell ref="B103:H103"/>
    <mergeCell ref="B104:H104"/>
    <mergeCell ref="B105:H105"/>
    <mergeCell ref="B106:H106"/>
    <mergeCell ref="B107:H107"/>
    <mergeCell ref="B108:H108"/>
    <mergeCell ref="A109:H109"/>
    <mergeCell ref="A110:I110"/>
    <mergeCell ref="B111:G111"/>
    <mergeCell ref="A112:G112"/>
    <mergeCell ref="B113:G113"/>
    <mergeCell ref="A114:G114"/>
    <mergeCell ref="B115:G115"/>
    <mergeCell ref="A116:G116"/>
    <mergeCell ref="A117:A124"/>
    <mergeCell ref="B117:G117"/>
    <mergeCell ref="B118:G118"/>
    <mergeCell ref="B119:G119"/>
    <mergeCell ref="B120:G120"/>
    <mergeCell ref="B121:G121"/>
    <mergeCell ref="B122:G122"/>
    <mergeCell ref="B123:G123"/>
    <mergeCell ref="B124:G124"/>
    <mergeCell ref="A125:H125"/>
    <mergeCell ref="A126:G126"/>
    <mergeCell ref="A127:B128"/>
    <mergeCell ref="C127:I127"/>
    <mergeCell ref="C128:I128"/>
    <mergeCell ref="A129:I129"/>
    <mergeCell ref="A130:I130"/>
    <mergeCell ref="A131:I131"/>
    <mergeCell ref="A132:I132"/>
    <mergeCell ref="A133:I133"/>
    <mergeCell ref="A134:H134"/>
    <mergeCell ref="B135:H135"/>
    <mergeCell ref="B136:H136"/>
    <mergeCell ref="B137:H137"/>
    <mergeCell ref="B138:H138"/>
    <mergeCell ref="A139:H139"/>
    <mergeCell ref="B140:H140"/>
    <mergeCell ref="A141:H141"/>
    <mergeCell ref="A142:I142"/>
    <mergeCell ref="A143:I143"/>
    <mergeCell ref="A144:I144"/>
    <mergeCell ref="A145:B145"/>
    <mergeCell ref="C145:D145"/>
    <mergeCell ref="F145:G145"/>
    <mergeCell ref="A146:B146"/>
    <mergeCell ref="C146:D146"/>
    <mergeCell ref="F146:G146"/>
    <mergeCell ref="A147:I147"/>
    <mergeCell ref="A148:I148"/>
    <mergeCell ref="A149:I149"/>
    <mergeCell ref="A150:I150"/>
    <mergeCell ref="B151:H151"/>
    <mergeCell ref="B152:H152"/>
    <mergeCell ref="B153:H153"/>
  </mergeCells>
  <printOptions headings="false" gridLines="false" gridLinesSet="true" horizontalCentered="false" verticalCentered="false"/>
  <pageMargins left="0.698611111111111" right="0.698611111111111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7" man="true" max="16383" min="0"/>
    <brk id="109" man="true" max="16383" min="0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N153"/>
  <sheetViews>
    <sheetView showFormulas="false" showGridLines="true" showRowColHeaders="true" showZeros="true" rightToLeft="false" tabSelected="false" showOutlineSymbols="true" defaultGridColor="true" view="pageBreakPreview" topLeftCell="C130" colorId="64" zoomScale="76" zoomScaleNormal="100" zoomScalePageLayoutView="76" workbookViewId="0">
      <selection pane="topLeft" activeCell="I39" activeCellId="0" sqref="I39"/>
    </sheetView>
  </sheetViews>
  <sheetFormatPr defaultRowHeight="15" zeroHeight="false" outlineLevelRow="0" outlineLevelCol="0"/>
  <cols>
    <col collapsed="false" customWidth="true" hidden="false" outlineLevel="0" max="1" min="1" style="1" width="13.57"/>
    <col collapsed="false" customWidth="true" hidden="false" outlineLevel="0" max="2" min="2" style="1" width="13.86"/>
    <col collapsed="false" customWidth="true" hidden="false" outlineLevel="0" max="3" min="3" style="1" width="14.28"/>
    <col collapsed="false" customWidth="true" hidden="false" outlineLevel="0" max="4" min="4" style="1" width="14.69"/>
    <col collapsed="false" customWidth="true" hidden="false" outlineLevel="0" max="5" min="5" style="1" width="14.86"/>
    <col collapsed="false" customWidth="true" hidden="false" outlineLevel="0" max="6" min="6" style="1" width="13.14"/>
    <col collapsed="false" customWidth="true" hidden="false" outlineLevel="0" max="7" min="7" style="1" width="14.15"/>
    <col collapsed="false" customWidth="true" hidden="false" outlineLevel="0" max="8" min="8" style="1" width="18"/>
    <col collapsed="false" customWidth="true" hidden="false" outlineLevel="0" max="9" min="9" style="1" width="52.29"/>
    <col collapsed="false" customWidth="true" hidden="true" outlineLevel="0" max="11" min="10" style="1" width="9"/>
    <col collapsed="false" customWidth="true" hidden="false" outlineLevel="0" max="12" min="12" style="1" width="58.57"/>
    <col collapsed="false" customWidth="true" hidden="false" outlineLevel="0" max="1025" min="13" style="1" width="28.57"/>
  </cols>
  <sheetData>
    <row r="1" s="101" customFormat="true" ht="15.75" hidden="false" customHeight="false" outlineLevel="0" collapsed="false">
      <c r="A1" s="173" t="s">
        <v>178</v>
      </c>
      <c r="I1" s="209"/>
    </row>
    <row r="2" s="101" customFormat="true" ht="15.75" hidden="false" customHeight="false" outlineLevel="0" collapsed="false">
      <c r="A2" s="173" t="s">
        <v>179</v>
      </c>
      <c r="I2" s="209"/>
    </row>
    <row r="3" s="101" customFormat="true" ht="15.75" hidden="false" customHeight="false" outlineLevel="0" collapsed="false">
      <c r="A3" s="173" t="s">
        <v>180</v>
      </c>
      <c r="I3" s="209"/>
    </row>
    <row r="4" s="101" customFormat="true" ht="15.75" hidden="false" customHeight="false" outlineLevel="0" collapsed="false">
      <c r="A4" s="173" t="s">
        <v>181</v>
      </c>
      <c r="I4" s="209"/>
    </row>
    <row r="5" s="101" customFormat="true" ht="15.75" hidden="false" customHeight="false" outlineLevel="0" collapsed="false">
      <c r="A5" s="173" t="s">
        <v>182</v>
      </c>
      <c r="I5" s="209"/>
    </row>
    <row r="6" s="101" customFormat="true" ht="15.75" hidden="false" customHeight="false" outlineLevel="0" collapsed="false">
      <c r="A6" s="173" t="s">
        <v>183</v>
      </c>
      <c r="I6" s="209"/>
    </row>
    <row r="7" customFormat="false" ht="15.75" hidden="false" customHeight="false" outlineLevel="0" collapsed="false">
      <c r="A7" s="174" t="s">
        <v>184</v>
      </c>
      <c r="I7" s="171"/>
    </row>
    <row r="8" customFormat="false" ht="15.75" hidden="false" customHeight="false" outlineLevel="0" collapsed="false">
      <c r="A8" s="263" t="s">
        <v>1</v>
      </c>
      <c r="B8" s="263"/>
      <c r="C8" s="263"/>
      <c r="D8" s="263"/>
      <c r="E8" s="263"/>
      <c r="F8" s="263"/>
      <c r="G8" s="263"/>
      <c r="H8" s="263"/>
      <c r="I8" s="263"/>
    </row>
    <row r="9" customFormat="false" ht="15.75" hidden="false" customHeight="false" outlineLevel="0" collapsed="false">
      <c r="A9" s="4" t="s">
        <v>2</v>
      </c>
      <c r="B9" s="4"/>
      <c r="C9" s="4"/>
      <c r="D9" s="4"/>
      <c r="E9" s="4"/>
      <c r="F9" s="4"/>
      <c r="G9" s="4"/>
      <c r="H9" s="4"/>
      <c r="I9" s="4"/>
    </row>
    <row r="10" customFormat="false" ht="15.75" hidden="false" customHeight="false" outlineLevel="0" collapsed="false">
      <c r="A10" s="5" t="s">
        <v>3</v>
      </c>
      <c r="B10" s="5"/>
      <c r="C10" s="5"/>
      <c r="D10" s="5"/>
      <c r="E10" s="5"/>
      <c r="F10" s="5"/>
      <c r="G10" s="5"/>
      <c r="H10" s="5"/>
      <c r="I10" s="5"/>
    </row>
    <row r="11" customFormat="false" ht="15.75" hidden="false" customHeight="false" outlineLevel="0" collapsed="false">
      <c r="A11" s="6" t="s">
        <v>4</v>
      </c>
      <c r="B11" s="6"/>
      <c r="C11" s="6"/>
      <c r="D11" s="6"/>
      <c r="E11" s="6"/>
      <c r="F11" s="6"/>
      <c r="G11" s="6"/>
      <c r="H11" s="6"/>
      <c r="I11" s="6"/>
    </row>
    <row r="12" customFormat="false" ht="15.75" hidden="false" customHeight="false" outlineLevel="0" collapsed="false">
      <c r="A12" s="7" t="s">
        <v>5</v>
      </c>
      <c r="B12" s="7"/>
      <c r="C12" s="7"/>
      <c r="D12" s="7"/>
      <c r="E12" s="7"/>
      <c r="F12" s="7"/>
      <c r="G12" s="7"/>
      <c r="H12" s="7"/>
      <c r="I12" s="7"/>
    </row>
    <row r="13" customFormat="false" ht="15.75" hidden="false" customHeight="false" outlineLevel="0" collapsed="false">
      <c r="A13" s="8" t="s">
        <v>6</v>
      </c>
      <c r="B13" s="8"/>
      <c r="C13" s="8"/>
      <c r="D13" s="8"/>
      <c r="E13" s="8"/>
      <c r="F13" s="8"/>
      <c r="G13" s="8"/>
      <c r="H13" s="8"/>
      <c r="I13" s="8"/>
    </row>
    <row r="14" customFormat="false" ht="15.75" hidden="false" customHeight="false" outlineLevel="0" collapsed="false">
      <c r="A14" s="179" t="s">
        <v>7</v>
      </c>
      <c r="B14" s="179"/>
      <c r="C14" s="179"/>
      <c r="D14" s="179"/>
      <c r="E14" s="179"/>
      <c r="F14" s="179"/>
      <c r="G14" s="179"/>
      <c r="H14" s="179"/>
      <c r="I14" s="179"/>
    </row>
    <row r="15" customFormat="false" ht="15.75" hidden="false" customHeight="false" outlineLevel="0" collapsed="false">
      <c r="A15" s="10" t="s">
        <v>8</v>
      </c>
      <c r="B15" s="11" t="s">
        <v>9</v>
      </c>
      <c r="C15" s="11"/>
      <c r="D15" s="11"/>
      <c r="E15" s="11"/>
      <c r="F15" s="11"/>
      <c r="G15" s="11"/>
      <c r="H15" s="11"/>
      <c r="I15" s="307"/>
      <c r="L15" s="13"/>
    </row>
    <row r="16" customFormat="false" ht="15.75" hidden="false" customHeight="false" outlineLevel="0" collapsed="false">
      <c r="A16" s="14" t="s">
        <v>10</v>
      </c>
      <c r="B16" s="15" t="s">
        <v>11</v>
      </c>
      <c r="C16" s="15"/>
      <c r="D16" s="15"/>
      <c r="E16" s="15"/>
      <c r="F16" s="15"/>
      <c r="G16" s="15"/>
      <c r="H16" s="15"/>
      <c r="I16" s="308" t="s">
        <v>242</v>
      </c>
      <c r="L16" s="13"/>
    </row>
    <row r="17" customFormat="false" ht="47.25" hidden="false" customHeight="true" outlineLevel="0" collapsed="false">
      <c r="A17" s="17" t="s">
        <v>12</v>
      </c>
      <c r="B17" s="18" t="s">
        <v>13</v>
      </c>
      <c r="C17" s="18"/>
      <c r="D17" s="18"/>
      <c r="E17" s="18"/>
      <c r="F17" s="18"/>
      <c r="G17" s="18"/>
      <c r="H17" s="18"/>
      <c r="I17" s="37" t="s">
        <v>186</v>
      </c>
      <c r="L17" s="13"/>
    </row>
    <row r="18" customFormat="false" ht="15.75" hidden="false" customHeight="false" outlineLevel="0" collapsed="false">
      <c r="A18" s="20" t="s">
        <v>14</v>
      </c>
      <c r="B18" s="21" t="s">
        <v>15</v>
      </c>
      <c r="C18" s="21"/>
      <c r="D18" s="21"/>
      <c r="E18" s="21"/>
      <c r="F18" s="21"/>
      <c r="G18" s="21"/>
      <c r="H18" s="21"/>
      <c r="I18" s="309" t="n">
        <v>12</v>
      </c>
    </row>
    <row r="19" customFormat="false" ht="15.75" hidden="false" customHeight="false" outlineLevel="0" collapsed="false">
      <c r="A19" s="179" t="s">
        <v>16</v>
      </c>
      <c r="B19" s="179"/>
      <c r="C19" s="179"/>
      <c r="D19" s="179"/>
      <c r="E19" s="179"/>
      <c r="F19" s="179"/>
      <c r="G19" s="179"/>
      <c r="H19" s="179"/>
      <c r="I19" s="179"/>
    </row>
    <row r="20" customFormat="false" ht="15.75" hidden="false" customHeight="false" outlineLevel="0" collapsed="false">
      <c r="A20" s="23" t="s">
        <v>17</v>
      </c>
      <c r="B20" s="23"/>
      <c r="C20" s="23"/>
      <c r="D20" s="23"/>
      <c r="E20" s="24" t="s">
        <v>18</v>
      </c>
      <c r="F20" s="24"/>
      <c r="G20" s="25" t="s">
        <v>19</v>
      </c>
      <c r="H20" s="25"/>
      <c r="I20" s="25"/>
    </row>
    <row r="21" customFormat="false" ht="15.75" hidden="false" customHeight="true" outlineLevel="0" collapsed="false">
      <c r="A21" s="26" t="s">
        <v>20</v>
      </c>
      <c r="B21" s="26"/>
      <c r="C21" s="26"/>
      <c r="D21" s="26"/>
      <c r="E21" s="27" t="s">
        <v>21</v>
      </c>
      <c r="F21" s="27"/>
      <c r="G21" s="28" t="n">
        <v>2</v>
      </c>
      <c r="H21" s="28"/>
      <c r="I21" s="28"/>
    </row>
    <row r="22" customFormat="false" ht="31.5" hidden="false" customHeight="true" outlineLevel="0" collapsed="false">
      <c r="A22" s="268" t="s">
        <v>217</v>
      </c>
      <c r="B22" s="268"/>
      <c r="C22" s="268"/>
      <c r="D22" s="268"/>
      <c r="E22" s="27"/>
      <c r="F22" s="27"/>
      <c r="G22" s="28"/>
      <c r="H22" s="28"/>
      <c r="I22" s="28"/>
      <c r="L22" s="30"/>
    </row>
    <row r="23" customFormat="false" ht="15.75" hidden="false" customHeight="false" outlineLevel="0" collapsed="false">
      <c r="A23" s="31"/>
      <c r="B23" s="269"/>
      <c r="C23" s="269"/>
      <c r="D23" s="269"/>
      <c r="E23" s="269"/>
      <c r="F23" s="269"/>
      <c r="G23" s="269"/>
      <c r="H23" s="269"/>
      <c r="I23" s="269"/>
    </row>
    <row r="24" customFormat="false" ht="15.75" hidden="false" customHeight="false" outlineLevel="0" collapsed="false">
      <c r="A24" s="33" t="s">
        <v>22</v>
      </c>
      <c r="B24" s="33"/>
      <c r="C24" s="33"/>
      <c r="D24" s="33"/>
      <c r="E24" s="33"/>
      <c r="F24" s="33"/>
      <c r="G24" s="33"/>
      <c r="H24" s="33"/>
      <c r="I24" s="33"/>
    </row>
    <row r="25" customFormat="false" ht="15.75" hidden="false" customHeight="false" outlineLevel="0" collapsed="false">
      <c r="A25" s="34" t="s">
        <v>23</v>
      </c>
      <c r="B25" s="34"/>
      <c r="C25" s="34"/>
      <c r="D25" s="34"/>
      <c r="E25" s="34"/>
      <c r="F25" s="34"/>
      <c r="G25" s="34"/>
      <c r="H25" s="34"/>
      <c r="I25" s="34"/>
    </row>
    <row r="26" customFormat="false" ht="15.75" hidden="false" customHeight="false" outlineLevel="0" collapsed="false">
      <c r="A26" s="35" t="s">
        <v>24</v>
      </c>
      <c r="B26" s="35"/>
      <c r="C26" s="35"/>
      <c r="D26" s="35"/>
      <c r="E26" s="35"/>
      <c r="F26" s="35"/>
      <c r="G26" s="35"/>
      <c r="H26" s="35"/>
      <c r="I26" s="35"/>
    </row>
    <row r="27" customFormat="false" ht="15.75" hidden="false" customHeight="true" outlineLevel="0" collapsed="false">
      <c r="A27" s="14" t="n">
        <v>1</v>
      </c>
      <c r="B27" s="36" t="s">
        <v>25</v>
      </c>
      <c r="C27" s="36"/>
      <c r="D27" s="36"/>
      <c r="E27" s="36"/>
      <c r="F27" s="36"/>
      <c r="G27" s="36"/>
      <c r="H27" s="36"/>
      <c r="I27" s="37" t="s">
        <v>26</v>
      </c>
    </row>
    <row r="28" customFormat="false" ht="15.75" hidden="false" customHeight="true" outlineLevel="0" collapsed="false">
      <c r="A28" s="14" t="n">
        <v>2</v>
      </c>
      <c r="B28" s="38" t="s">
        <v>27</v>
      </c>
      <c r="C28" s="38"/>
      <c r="D28" s="38"/>
      <c r="E28" s="38"/>
      <c r="F28" s="38"/>
      <c r="G28" s="38"/>
      <c r="H28" s="38"/>
      <c r="I28" s="308" t="n">
        <f aca="false">Dados!B2</f>
        <v>1305.17</v>
      </c>
    </row>
    <row r="29" customFormat="false" ht="15.75" hidden="false" customHeight="true" outlineLevel="0" collapsed="false">
      <c r="A29" s="14" t="n">
        <v>3</v>
      </c>
      <c r="B29" s="38" t="s">
        <v>28</v>
      </c>
      <c r="C29" s="38"/>
      <c r="D29" s="38"/>
      <c r="E29" s="38"/>
      <c r="F29" s="38"/>
      <c r="G29" s="38"/>
      <c r="H29" s="38"/>
      <c r="I29" s="308" t="s">
        <v>188</v>
      </c>
    </row>
    <row r="30" customFormat="false" ht="15.75" hidden="false" customHeight="true" outlineLevel="0" collapsed="false">
      <c r="A30" s="40" t="n">
        <v>4</v>
      </c>
      <c r="B30" s="329" t="s">
        <v>29</v>
      </c>
      <c r="C30" s="329"/>
      <c r="D30" s="329"/>
      <c r="E30" s="329"/>
      <c r="F30" s="329"/>
      <c r="G30" s="329"/>
      <c r="H30" s="329"/>
      <c r="I30" s="311" t="n">
        <v>42005</v>
      </c>
    </row>
    <row r="31" customFormat="false" ht="15.75" hidden="false" customHeight="true" outlineLevel="0" collapsed="false">
      <c r="A31" s="40" t="n">
        <v>5</v>
      </c>
      <c r="B31" s="38" t="s">
        <v>30</v>
      </c>
      <c r="C31" s="38"/>
      <c r="D31" s="38"/>
      <c r="E31" s="38"/>
      <c r="F31" s="38"/>
      <c r="G31" s="38"/>
      <c r="H31" s="38"/>
      <c r="I31" s="311" t="n">
        <f aca="false">I28/220</f>
        <v>5.93259090909091</v>
      </c>
    </row>
    <row r="32" customFormat="false" ht="15.75" hidden="false" customHeight="true" outlineLevel="0" collapsed="false">
      <c r="A32" s="40" t="n">
        <v>6</v>
      </c>
      <c r="B32" s="38" t="s">
        <v>31</v>
      </c>
      <c r="C32" s="38"/>
      <c r="D32" s="38"/>
      <c r="E32" s="38"/>
      <c r="F32" s="38"/>
      <c r="G32" s="38"/>
      <c r="H32" s="38"/>
      <c r="I32" s="311" t="n">
        <f aca="false">I31*1.5</f>
        <v>8.89888636363636</v>
      </c>
    </row>
    <row r="33" customFormat="false" ht="16.5" hidden="false" customHeight="true" outlineLevel="0" collapsed="false">
      <c r="A33" s="20" t="n">
        <v>7</v>
      </c>
      <c r="B33" s="44" t="s">
        <v>32</v>
      </c>
      <c r="C33" s="44"/>
      <c r="D33" s="44"/>
      <c r="E33" s="44"/>
      <c r="F33" s="44"/>
      <c r="G33" s="44"/>
      <c r="H33" s="44"/>
      <c r="I33" s="309" t="n">
        <f aca="false">I31*0.2</f>
        <v>1.18651818181818</v>
      </c>
    </row>
    <row r="34" customFormat="false" ht="15.75" hidden="false" customHeight="false" outlineLevel="0" collapsed="false">
      <c r="A34" s="271"/>
      <c r="B34" s="271"/>
      <c r="C34" s="271"/>
      <c r="D34" s="271"/>
      <c r="E34" s="271"/>
      <c r="F34" s="271"/>
      <c r="G34" s="271"/>
      <c r="H34" s="271"/>
      <c r="I34" s="271"/>
    </row>
    <row r="35" customFormat="false" ht="15.75" hidden="false" customHeight="false" outlineLevel="0" collapsed="false">
      <c r="A35" s="47" t="s">
        <v>33</v>
      </c>
      <c r="B35" s="47"/>
      <c r="C35" s="47"/>
      <c r="D35" s="47"/>
      <c r="E35" s="47"/>
      <c r="F35" s="47"/>
      <c r="G35" s="47"/>
      <c r="H35" s="47"/>
      <c r="I35" s="47"/>
    </row>
    <row r="36" customFormat="false" ht="15.75" hidden="false" customHeight="false" outlineLevel="0" collapsed="false">
      <c r="A36" s="48" t="n">
        <v>1</v>
      </c>
      <c r="B36" s="49" t="s">
        <v>34</v>
      </c>
      <c r="C36" s="49"/>
      <c r="D36" s="49"/>
      <c r="E36" s="49"/>
      <c r="F36" s="49"/>
      <c r="G36" s="49"/>
      <c r="H36" s="49"/>
      <c r="I36" s="204" t="s">
        <v>35</v>
      </c>
      <c r="L36" s="51"/>
    </row>
    <row r="37" customFormat="false" ht="15.75" hidden="false" customHeight="false" outlineLevel="0" collapsed="false">
      <c r="A37" s="17" t="s">
        <v>8</v>
      </c>
      <c r="B37" s="52" t="s">
        <v>36</v>
      </c>
      <c r="C37" s="52"/>
      <c r="D37" s="52"/>
      <c r="E37" s="52"/>
      <c r="F37" s="52"/>
      <c r="G37" s="52"/>
      <c r="H37" s="52"/>
      <c r="I37" s="207" t="n">
        <f aca="false">ROUND(I28*2,2)</f>
        <v>2610.34</v>
      </c>
      <c r="L37" s="51"/>
    </row>
    <row r="38" customFormat="false" ht="31.5" hidden="false" customHeight="true" outlineLevel="0" collapsed="false">
      <c r="A38" s="17" t="s">
        <v>10</v>
      </c>
      <c r="B38" s="54" t="s">
        <v>218</v>
      </c>
      <c r="C38" s="54"/>
      <c r="D38" s="54"/>
      <c r="E38" s="54"/>
      <c r="F38" s="54"/>
      <c r="G38" s="54"/>
      <c r="H38" s="54"/>
      <c r="I38" s="207" t="n">
        <f aca="false">ROUND((I32*21*2)+(I32*5*2*(15/60)),2)</f>
        <v>396</v>
      </c>
      <c r="L38" s="55"/>
    </row>
    <row r="39" customFormat="false" ht="30.75" hidden="false" customHeight="true" outlineLevel="0" collapsed="false">
      <c r="A39" s="17" t="s">
        <v>12</v>
      </c>
      <c r="B39" s="54" t="s">
        <v>243</v>
      </c>
      <c r="C39" s="54"/>
      <c r="D39" s="54"/>
      <c r="E39" s="54"/>
      <c r="F39" s="54"/>
      <c r="G39" s="54"/>
      <c r="H39" s="54"/>
      <c r="I39" s="211" t="n">
        <f aca="false">ROUND(I33*1*(60/52.5)*21,2)</f>
        <v>28.48</v>
      </c>
      <c r="L39" s="55"/>
    </row>
    <row r="40" customFormat="false" ht="32.25" hidden="false" customHeight="true" outlineLevel="0" collapsed="false">
      <c r="A40" s="17" t="s">
        <v>14</v>
      </c>
      <c r="B40" s="54" t="s">
        <v>205</v>
      </c>
      <c r="C40" s="54"/>
      <c r="D40" s="54"/>
      <c r="E40" s="54"/>
      <c r="F40" s="54"/>
      <c r="G40" s="54"/>
      <c r="H40" s="54"/>
      <c r="I40" s="207" t="n">
        <f aca="false">ROUND(I32*21*(60/52.5-1),2)</f>
        <v>26.7</v>
      </c>
      <c r="L40" s="55"/>
    </row>
    <row r="41" customFormat="false" ht="15.75" hidden="false" customHeight="false" outlineLevel="0" collapsed="false">
      <c r="A41" s="17" t="s">
        <v>40</v>
      </c>
      <c r="B41" s="74" t="s">
        <v>221</v>
      </c>
      <c r="C41" s="74"/>
      <c r="D41" s="74"/>
      <c r="E41" s="74"/>
      <c r="F41" s="74"/>
      <c r="G41" s="74"/>
      <c r="H41" s="74"/>
      <c r="I41" s="207" t="n">
        <f aca="false">ROUND(I32*2*10,2)</f>
        <v>177.98</v>
      </c>
      <c r="L41" s="57"/>
    </row>
    <row r="42" customFormat="false" ht="15.75" hidden="false" customHeight="true" outlineLevel="0" collapsed="false">
      <c r="A42" s="274" t="s">
        <v>42</v>
      </c>
      <c r="B42" s="58" t="s">
        <v>43</v>
      </c>
      <c r="C42" s="58"/>
      <c r="D42" s="58"/>
      <c r="E42" s="58"/>
      <c r="F42" s="58"/>
      <c r="G42" s="58"/>
      <c r="H42" s="58"/>
      <c r="I42" s="207" t="n">
        <f aca="false">SUM(I38:I41)*0.2</f>
        <v>125.832</v>
      </c>
      <c r="K42" s="59"/>
    </row>
    <row r="43" customFormat="false" ht="15.75" hidden="false" customHeight="false" outlineLevel="0" collapsed="false">
      <c r="A43" s="60" t="s">
        <v>44</v>
      </c>
      <c r="B43" s="60"/>
      <c r="C43" s="60"/>
      <c r="D43" s="60"/>
      <c r="E43" s="60"/>
      <c r="F43" s="60"/>
      <c r="G43" s="60"/>
      <c r="H43" s="60"/>
      <c r="I43" s="210" t="n">
        <f aca="false">SUM(I37:I42)</f>
        <v>3365.332</v>
      </c>
    </row>
    <row r="44" customFormat="false" ht="15.75" hidden="false" customHeight="false" outlineLevel="0" collapsed="false">
      <c r="A44" s="47" t="s">
        <v>45</v>
      </c>
      <c r="B44" s="47"/>
      <c r="C44" s="47"/>
      <c r="D44" s="47"/>
      <c r="E44" s="47"/>
      <c r="F44" s="47"/>
      <c r="G44" s="47"/>
      <c r="H44" s="47"/>
      <c r="I44" s="47"/>
    </row>
    <row r="45" customFormat="false" ht="15.75" hidden="false" customHeight="false" outlineLevel="0" collapsed="false">
      <c r="A45" s="62" t="n">
        <v>2</v>
      </c>
      <c r="B45" s="63" t="s">
        <v>46</v>
      </c>
      <c r="C45" s="63"/>
      <c r="D45" s="63"/>
      <c r="E45" s="63"/>
      <c r="F45" s="63"/>
      <c r="G45" s="63"/>
      <c r="H45" s="63"/>
      <c r="I45" s="204" t="s">
        <v>35</v>
      </c>
    </row>
    <row r="46" customFormat="false" ht="15.75" hidden="false" customHeight="true" outlineLevel="0" collapsed="false">
      <c r="A46" s="64" t="s">
        <v>8</v>
      </c>
      <c r="B46" s="54" t="s">
        <v>206</v>
      </c>
      <c r="C46" s="54"/>
      <c r="D46" s="54"/>
      <c r="E46" s="54"/>
      <c r="F46" s="54"/>
      <c r="G46" s="54"/>
      <c r="H46" s="54"/>
      <c r="I46" s="207" t="n">
        <f aca="false">ROUND((2*H48*H47*26)-(0.06*I37),2)</f>
        <v>124.18</v>
      </c>
      <c r="L46" s="66"/>
    </row>
    <row r="47" customFormat="false" ht="32.25" hidden="false" customHeight="true" outlineLevel="0" collapsed="false">
      <c r="A47" s="64"/>
      <c r="B47" s="277" t="s">
        <v>244</v>
      </c>
      <c r="C47" s="277"/>
      <c r="D47" s="277"/>
      <c r="E47" s="277"/>
      <c r="F47" s="277"/>
      <c r="G47" s="277"/>
      <c r="H47" s="278" t="n">
        <f aca="false">Dados!B12</f>
        <v>2.7</v>
      </c>
      <c r="I47" s="312"/>
    </row>
    <row r="48" customFormat="false" ht="17.25" hidden="false" customHeight="true" outlineLevel="0" collapsed="false">
      <c r="A48" s="64"/>
      <c r="B48" s="69" t="s">
        <v>49</v>
      </c>
      <c r="C48" s="69"/>
      <c r="D48" s="69"/>
      <c r="E48" s="69"/>
      <c r="F48" s="69"/>
      <c r="G48" s="69"/>
      <c r="H48" s="70" t="n">
        <v>2</v>
      </c>
      <c r="I48" s="312"/>
    </row>
    <row r="49" customFormat="false" ht="15.75" hidden="false" customHeight="true" outlineLevel="0" collapsed="false">
      <c r="A49" s="64" t="s">
        <v>10</v>
      </c>
      <c r="B49" s="54" t="s">
        <v>50</v>
      </c>
      <c r="C49" s="54"/>
      <c r="D49" s="54"/>
      <c r="E49" s="54"/>
      <c r="F49" s="54"/>
      <c r="G49" s="54"/>
      <c r="H49" s="54"/>
      <c r="I49" s="312" t="n">
        <f aca="false">ROUND(((2*21*H50)+(2*5*Dados!B4))*(1-0.18),2)</f>
        <v>644.73</v>
      </c>
    </row>
    <row r="50" customFormat="false" ht="15.75" hidden="false" customHeight="false" outlineLevel="0" collapsed="false">
      <c r="A50" s="64"/>
      <c r="B50" s="69" t="s">
        <v>51</v>
      </c>
      <c r="C50" s="69"/>
      <c r="D50" s="69"/>
      <c r="E50" s="69"/>
      <c r="F50" s="69"/>
      <c r="G50" s="69"/>
      <c r="H50" s="280" t="n">
        <f aca="false">Dados!B3</f>
        <v>16.73</v>
      </c>
      <c r="I50" s="223"/>
    </row>
    <row r="51" customFormat="false" ht="32.25" hidden="false" customHeight="true" outlineLevel="0" collapsed="false">
      <c r="A51" s="17" t="s">
        <v>12</v>
      </c>
      <c r="B51" s="58" t="s">
        <v>207</v>
      </c>
      <c r="C51" s="58"/>
      <c r="D51" s="58"/>
      <c r="E51" s="58"/>
      <c r="F51" s="58"/>
      <c r="G51" s="58"/>
      <c r="H51" s="58"/>
      <c r="I51" s="312" t="n">
        <f aca="false">ROUND(Dados!B5*2,2)</f>
        <v>30.04</v>
      </c>
    </row>
    <row r="52" customFormat="false" ht="15.75" hidden="false" customHeight="false" outlineLevel="0" collapsed="false">
      <c r="A52" s="60" t="s">
        <v>53</v>
      </c>
      <c r="B52" s="60"/>
      <c r="C52" s="60"/>
      <c r="D52" s="60"/>
      <c r="E52" s="60"/>
      <c r="F52" s="60"/>
      <c r="G52" s="60"/>
      <c r="H52" s="60"/>
      <c r="I52" s="210" t="n">
        <f aca="false">SUM(I46:I51)</f>
        <v>798.95</v>
      </c>
    </row>
    <row r="53" customFormat="false" ht="15.75" hidden="false" customHeight="false" outlineLevel="0" collapsed="false">
      <c r="A53" s="73" t="s">
        <v>54</v>
      </c>
      <c r="B53" s="73"/>
      <c r="C53" s="73"/>
      <c r="D53" s="73"/>
      <c r="E53" s="73"/>
      <c r="F53" s="73"/>
      <c r="G53" s="73"/>
      <c r="H53" s="73"/>
      <c r="I53" s="73"/>
    </row>
    <row r="54" customFormat="false" ht="15.75" hidden="false" customHeight="false" outlineLevel="0" collapsed="false">
      <c r="A54" s="47" t="s">
        <v>55</v>
      </c>
      <c r="B54" s="47"/>
      <c r="C54" s="47"/>
      <c r="D54" s="47"/>
      <c r="E54" s="47"/>
      <c r="F54" s="47"/>
      <c r="G54" s="47"/>
      <c r="H54" s="47"/>
      <c r="I54" s="47"/>
    </row>
    <row r="55" customFormat="false" ht="15.75" hidden="false" customHeight="false" outlineLevel="0" collapsed="false">
      <c r="A55" s="62" t="n">
        <v>3</v>
      </c>
      <c r="B55" s="63" t="s">
        <v>56</v>
      </c>
      <c r="C55" s="63"/>
      <c r="D55" s="63"/>
      <c r="E55" s="63"/>
      <c r="F55" s="63"/>
      <c r="G55" s="63"/>
      <c r="H55" s="63"/>
      <c r="I55" s="204" t="s">
        <v>35</v>
      </c>
    </row>
    <row r="56" customFormat="false" ht="15.75" hidden="false" customHeight="false" outlineLevel="0" collapsed="false">
      <c r="A56" s="64" t="s">
        <v>8</v>
      </c>
      <c r="B56" s="74" t="s">
        <v>208</v>
      </c>
      <c r="C56" s="74"/>
      <c r="D56" s="74"/>
      <c r="E56" s="74"/>
      <c r="F56" s="74"/>
      <c r="G56" s="74"/>
      <c r="H56" s="74"/>
      <c r="I56" s="75" t="n">
        <f aca="false">Dados!D6*2</f>
        <v>137.67625</v>
      </c>
      <c r="J56" s="76"/>
      <c r="K56" s="77"/>
    </row>
    <row r="57" customFormat="false" ht="15.75" hidden="false" customHeight="false" outlineLevel="0" collapsed="false">
      <c r="A57" s="60" t="s">
        <v>58</v>
      </c>
      <c r="B57" s="60"/>
      <c r="C57" s="60"/>
      <c r="D57" s="60"/>
      <c r="E57" s="60"/>
      <c r="F57" s="60"/>
      <c r="G57" s="60"/>
      <c r="H57" s="60"/>
      <c r="I57" s="78" t="n">
        <f aca="false">SUM(I56:I56)</f>
        <v>137.67625</v>
      </c>
    </row>
    <row r="58" customFormat="false" ht="15.75" hidden="false" customHeight="false" outlineLevel="0" collapsed="false">
      <c r="A58" s="47" t="s">
        <v>59</v>
      </c>
      <c r="B58" s="47"/>
      <c r="C58" s="47"/>
      <c r="D58" s="47"/>
      <c r="E58" s="47"/>
      <c r="F58" s="47"/>
      <c r="G58" s="47"/>
      <c r="H58" s="47"/>
      <c r="I58" s="47"/>
    </row>
    <row r="59" customFormat="false" ht="15.75" hidden="false" customHeight="false" outlineLevel="0" collapsed="false">
      <c r="A59" s="79" t="s">
        <v>60</v>
      </c>
      <c r="B59" s="79"/>
      <c r="C59" s="79"/>
      <c r="D59" s="79"/>
      <c r="E59" s="79"/>
      <c r="F59" s="79"/>
      <c r="G59" s="79"/>
      <c r="H59" s="79"/>
      <c r="I59" s="79"/>
    </row>
    <row r="60" customFormat="false" ht="15.75" hidden="false" customHeight="false" outlineLevel="0" collapsed="false">
      <c r="A60" s="62" t="s">
        <v>61</v>
      </c>
      <c r="B60" s="80" t="s">
        <v>62</v>
      </c>
      <c r="C60" s="80"/>
      <c r="D60" s="80"/>
      <c r="E60" s="80"/>
      <c r="F60" s="80"/>
      <c r="G60" s="80"/>
      <c r="H60" s="81" t="s">
        <v>63</v>
      </c>
      <c r="I60" s="204" t="s">
        <v>35</v>
      </c>
    </row>
    <row r="61" customFormat="false" ht="15.75" hidden="false" customHeight="false" outlineLevel="0" collapsed="false">
      <c r="A61" s="82" t="s">
        <v>8</v>
      </c>
      <c r="B61" s="83" t="s">
        <v>64</v>
      </c>
      <c r="C61" s="83"/>
      <c r="D61" s="83"/>
      <c r="E61" s="83"/>
      <c r="F61" s="83"/>
      <c r="G61" s="83"/>
      <c r="H61" s="84" t="n">
        <v>0.2</v>
      </c>
      <c r="I61" s="207" t="n">
        <f aca="false">ROUND(($I$43-$I$38)*H61,2)</f>
        <v>593.87</v>
      </c>
      <c r="K61" s="66"/>
    </row>
    <row r="62" customFormat="false" ht="15.75" hidden="false" customHeight="false" outlineLevel="0" collapsed="false">
      <c r="A62" s="82" t="s">
        <v>10</v>
      </c>
      <c r="B62" s="83" t="s">
        <v>65</v>
      </c>
      <c r="C62" s="83"/>
      <c r="D62" s="83"/>
      <c r="E62" s="83"/>
      <c r="F62" s="83"/>
      <c r="G62" s="83"/>
      <c r="H62" s="85" t="n">
        <v>0.015</v>
      </c>
      <c r="I62" s="207" t="n">
        <f aca="false">ROUND(($I$43-$I$38)*H62,2)</f>
        <v>44.54</v>
      </c>
      <c r="K62" s="66"/>
    </row>
    <row r="63" customFormat="false" ht="15.75" hidden="false" customHeight="false" outlineLevel="0" collapsed="false">
      <c r="A63" s="82" t="s">
        <v>12</v>
      </c>
      <c r="B63" s="83" t="s">
        <v>66</v>
      </c>
      <c r="C63" s="83"/>
      <c r="D63" s="83"/>
      <c r="E63" s="83"/>
      <c r="F63" s="83"/>
      <c r="G63" s="83"/>
      <c r="H63" s="84" t="n">
        <v>0.01</v>
      </c>
      <c r="I63" s="207" t="n">
        <f aca="false">ROUND(($I$43-$I$38)*H63,2)</f>
        <v>29.69</v>
      </c>
      <c r="K63" s="66"/>
    </row>
    <row r="64" customFormat="false" ht="15.75" hidden="false" customHeight="false" outlineLevel="0" collapsed="false">
      <c r="A64" s="82" t="s">
        <v>14</v>
      </c>
      <c r="B64" s="83" t="s">
        <v>67</v>
      </c>
      <c r="C64" s="83"/>
      <c r="D64" s="83"/>
      <c r="E64" s="83"/>
      <c r="F64" s="83"/>
      <c r="G64" s="83"/>
      <c r="H64" s="86" t="n">
        <v>0.002</v>
      </c>
      <c r="I64" s="207" t="n">
        <f aca="false">ROUND(($I$43-$I$38)*H64,2)</f>
        <v>5.94</v>
      </c>
      <c r="K64" s="66"/>
    </row>
    <row r="65" customFormat="false" ht="15.75" hidden="false" customHeight="false" outlineLevel="0" collapsed="false">
      <c r="A65" s="82" t="s">
        <v>40</v>
      </c>
      <c r="B65" s="83" t="s">
        <v>68</v>
      </c>
      <c r="C65" s="83"/>
      <c r="D65" s="83"/>
      <c r="E65" s="83"/>
      <c r="F65" s="83"/>
      <c r="G65" s="83"/>
      <c r="H65" s="86" t="n">
        <v>0.025</v>
      </c>
      <c r="I65" s="207" t="n">
        <f aca="false">ROUND(($I$43-$I$38)*H65,2)</f>
        <v>74.23</v>
      </c>
      <c r="K65" s="66"/>
    </row>
    <row r="66" customFormat="false" ht="15.75" hidden="false" customHeight="false" outlineLevel="0" collapsed="false">
      <c r="A66" s="82" t="s">
        <v>42</v>
      </c>
      <c r="B66" s="83" t="s">
        <v>69</v>
      </c>
      <c r="C66" s="83"/>
      <c r="D66" s="83"/>
      <c r="E66" s="83"/>
      <c r="F66" s="83"/>
      <c r="G66" s="83"/>
      <c r="H66" s="84" t="n">
        <v>0.08</v>
      </c>
      <c r="I66" s="207" t="n">
        <f aca="false">ROUND(($I$43-$I$38)*H66,2)</f>
        <v>237.55</v>
      </c>
      <c r="K66" s="66"/>
    </row>
    <row r="67" customFormat="false" ht="15.75" hidden="false" customHeight="false" outlineLevel="0" collapsed="false">
      <c r="A67" s="82" t="s">
        <v>70</v>
      </c>
      <c r="B67" s="87" t="s">
        <v>71</v>
      </c>
      <c r="C67" s="87"/>
      <c r="D67" s="87"/>
      <c r="E67" s="87"/>
      <c r="F67" s="88" t="s">
        <v>72</v>
      </c>
      <c r="G67" s="89" t="s">
        <v>196</v>
      </c>
      <c r="H67" s="86" t="n">
        <v>0.015</v>
      </c>
      <c r="I67" s="207" t="n">
        <f aca="false">ROUND(($I$43-$I$38)*H67,2)</f>
        <v>44.54</v>
      </c>
      <c r="K67" s="66"/>
    </row>
    <row r="68" customFormat="false" ht="15.75" hidden="false" customHeight="false" outlineLevel="0" collapsed="false">
      <c r="A68" s="82" t="s">
        <v>74</v>
      </c>
      <c r="B68" s="83" t="s">
        <v>75</v>
      </c>
      <c r="C68" s="83"/>
      <c r="D68" s="83"/>
      <c r="E68" s="83"/>
      <c r="F68" s="83"/>
      <c r="G68" s="83"/>
      <c r="H68" s="86" t="n">
        <v>0.006</v>
      </c>
      <c r="I68" s="207" t="n">
        <f aca="false">ROUND(($I$43-$I$38)*H68,2)</f>
        <v>17.82</v>
      </c>
      <c r="K68" s="66"/>
    </row>
    <row r="69" customFormat="false" ht="15.75" hidden="false" customHeight="false" outlineLevel="0" collapsed="false">
      <c r="A69" s="90" t="s">
        <v>76</v>
      </c>
      <c r="B69" s="90"/>
      <c r="C69" s="90"/>
      <c r="D69" s="90"/>
      <c r="E69" s="90"/>
      <c r="F69" s="90"/>
      <c r="G69" s="90"/>
      <c r="H69" s="91" t="n">
        <f aca="false">SUM(H61:H68)</f>
        <v>0.353</v>
      </c>
      <c r="I69" s="219" t="n">
        <f aca="false">SUM(I61:I68)</f>
        <v>1048.18</v>
      </c>
      <c r="K69" s="66"/>
    </row>
    <row r="70" customFormat="false" ht="15.75" hidden="false" customHeight="false" outlineLevel="0" collapsed="false">
      <c r="A70" s="93" t="s">
        <v>77</v>
      </c>
      <c r="B70" s="93"/>
      <c r="C70" s="93"/>
      <c r="D70" s="93"/>
      <c r="E70" s="93"/>
      <c r="F70" s="93"/>
      <c r="G70" s="93"/>
      <c r="H70" s="93"/>
      <c r="I70" s="93"/>
    </row>
    <row r="71" customFormat="false" ht="15.75" hidden="false" customHeight="false" outlineLevel="0" collapsed="false">
      <c r="A71" s="94" t="s">
        <v>78</v>
      </c>
      <c r="B71" s="94"/>
      <c r="C71" s="94"/>
      <c r="D71" s="94"/>
      <c r="E71" s="94"/>
      <c r="F71" s="94"/>
      <c r="G71" s="94"/>
      <c r="H71" s="94"/>
      <c r="I71" s="94"/>
    </row>
    <row r="72" customFormat="false" ht="15.75" hidden="false" customHeight="false" outlineLevel="0" collapsed="false">
      <c r="A72" s="79" t="s">
        <v>79</v>
      </c>
      <c r="B72" s="79"/>
      <c r="C72" s="79"/>
      <c r="D72" s="79"/>
      <c r="E72" s="79"/>
      <c r="F72" s="79"/>
      <c r="G72" s="79"/>
      <c r="H72" s="79"/>
      <c r="I72" s="79"/>
    </row>
    <row r="73" customFormat="false" ht="15.75" hidden="false" customHeight="false" outlineLevel="0" collapsed="false">
      <c r="A73" s="62" t="s">
        <v>80</v>
      </c>
      <c r="B73" s="81" t="s">
        <v>81</v>
      </c>
      <c r="C73" s="81"/>
      <c r="D73" s="81"/>
      <c r="E73" s="81"/>
      <c r="F73" s="81"/>
      <c r="G73" s="81"/>
      <c r="H73" s="81"/>
      <c r="I73" s="204" t="s">
        <v>35</v>
      </c>
    </row>
    <row r="74" customFormat="false" ht="36" hidden="false" customHeight="true" outlineLevel="0" collapsed="false">
      <c r="A74" s="17" t="s">
        <v>8</v>
      </c>
      <c r="B74" s="95" t="s">
        <v>82</v>
      </c>
      <c r="C74" s="95"/>
      <c r="D74" s="95"/>
      <c r="E74" s="95"/>
      <c r="F74" s="95"/>
      <c r="G74" s="95"/>
      <c r="H74" s="95"/>
      <c r="I74" s="220" t="n">
        <f aca="false">ROUND(I43/12,2)</f>
        <v>280.44</v>
      </c>
      <c r="K74" s="66"/>
    </row>
    <row r="75" customFormat="false" ht="15.75" hidden="false" customHeight="false" outlineLevel="0" collapsed="false">
      <c r="A75" s="97" t="s">
        <v>83</v>
      </c>
      <c r="B75" s="97"/>
      <c r="C75" s="97"/>
      <c r="D75" s="97"/>
      <c r="E75" s="97"/>
      <c r="F75" s="97"/>
      <c r="G75" s="97"/>
      <c r="H75" s="97"/>
      <c r="I75" s="207" t="n">
        <f aca="false">SUM(I74:I74)</f>
        <v>280.44</v>
      </c>
      <c r="K75" s="66"/>
    </row>
    <row r="76" customFormat="false" ht="15.75" hidden="false" customHeight="false" outlineLevel="0" collapsed="false">
      <c r="A76" s="17" t="s">
        <v>10</v>
      </c>
      <c r="B76" s="83" t="s">
        <v>84</v>
      </c>
      <c r="C76" s="83"/>
      <c r="D76" s="83"/>
      <c r="E76" s="83"/>
      <c r="F76" s="83"/>
      <c r="G76" s="83"/>
      <c r="H76" s="83"/>
      <c r="I76" s="207" t="n">
        <f aca="false">ROUND(I75*H69,2)</f>
        <v>99</v>
      </c>
      <c r="K76" s="66"/>
    </row>
    <row r="77" customFormat="false" ht="15.75" hidden="false" customHeight="false" outlineLevel="0" collapsed="false">
      <c r="A77" s="60" t="s">
        <v>76</v>
      </c>
      <c r="B77" s="60"/>
      <c r="C77" s="60"/>
      <c r="D77" s="60"/>
      <c r="E77" s="60"/>
      <c r="F77" s="60"/>
      <c r="G77" s="60"/>
      <c r="H77" s="60"/>
      <c r="I77" s="210" t="n">
        <f aca="false">SUM(I75:I76)</f>
        <v>379.44</v>
      </c>
      <c r="K77" s="66"/>
    </row>
    <row r="78" customFormat="false" ht="15.75" hidden="false" customHeight="false" outlineLevel="0" collapsed="false">
      <c r="A78" s="79" t="s">
        <v>85</v>
      </c>
      <c r="B78" s="79"/>
      <c r="C78" s="79"/>
      <c r="D78" s="79"/>
      <c r="E78" s="79"/>
      <c r="F78" s="79"/>
      <c r="G78" s="79"/>
      <c r="H78" s="79"/>
      <c r="I78" s="79"/>
    </row>
    <row r="79" customFormat="false" ht="15.75" hidden="false" customHeight="false" outlineLevel="0" collapsed="false">
      <c r="A79" s="62" t="s">
        <v>86</v>
      </c>
      <c r="B79" s="81" t="s">
        <v>87</v>
      </c>
      <c r="C79" s="81"/>
      <c r="D79" s="81"/>
      <c r="E79" s="81"/>
      <c r="F79" s="81"/>
      <c r="G79" s="81"/>
      <c r="H79" s="81"/>
      <c r="I79" s="204" t="s">
        <v>35</v>
      </c>
    </row>
    <row r="80" customFormat="false" ht="15.75" hidden="false" customHeight="false" outlineLevel="0" collapsed="false">
      <c r="A80" s="17" t="s">
        <v>8</v>
      </c>
      <c r="B80" s="52" t="s">
        <v>88</v>
      </c>
      <c r="C80" s="52"/>
      <c r="D80" s="52"/>
      <c r="E80" s="52"/>
      <c r="F80" s="52"/>
      <c r="G80" s="52"/>
      <c r="H80" s="52"/>
      <c r="I80" s="75" t="n">
        <f aca="false">ROUND((((I43+I43/3)*(4/12))/12)*0.02,2)</f>
        <v>2.49</v>
      </c>
    </row>
    <row r="81" customFormat="false" ht="15.75" hidden="false" customHeight="false" outlineLevel="0" collapsed="false">
      <c r="A81" s="17" t="s">
        <v>10</v>
      </c>
      <c r="B81" s="83" t="s">
        <v>89</v>
      </c>
      <c r="C81" s="83"/>
      <c r="D81" s="83"/>
      <c r="E81" s="83"/>
      <c r="F81" s="83"/>
      <c r="G81" s="83"/>
      <c r="H81" s="83"/>
      <c r="I81" s="75" t="n">
        <f aca="false">ROUND(I80*H69,2)</f>
        <v>0.88</v>
      </c>
    </row>
    <row r="82" customFormat="false" ht="15.75" hidden="false" customHeight="false" outlineLevel="0" collapsed="false">
      <c r="A82" s="60" t="s">
        <v>76</v>
      </c>
      <c r="B82" s="60"/>
      <c r="C82" s="60"/>
      <c r="D82" s="60"/>
      <c r="E82" s="60"/>
      <c r="F82" s="60"/>
      <c r="G82" s="60"/>
      <c r="H82" s="60"/>
      <c r="I82" s="210" t="n">
        <f aca="false">SUM(I80:I81)</f>
        <v>3.37</v>
      </c>
    </row>
    <row r="83" customFormat="false" ht="15.75" hidden="false" customHeight="false" outlineLevel="0" collapsed="false">
      <c r="A83" s="79" t="s">
        <v>90</v>
      </c>
      <c r="B83" s="79"/>
      <c r="C83" s="79"/>
      <c r="D83" s="79"/>
      <c r="E83" s="79"/>
      <c r="F83" s="79"/>
      <c r="G83" s="79"/>
      <c r="H83" s="79"/>
      <c r="I83" s="79"/>
    </row>
    <row r="84" customFormat="false" ht="15.75" hidden="false" customHeight="false" outlineLevel="0" collapsed="false">
      <c r="A84" s="62" t="s">
        <v>91</v>
      </c>
      <c r="B84" s="81" t="s">
        <v>92</v>
      </c>
      <c r="C84" s="81"/>
      <c r="D84" s="81"/>
      <c r="E84" s="81"/>
      <c r="F84" s="81"/>
      <c r="G84" s="81"/>
      <c r="H84" s="81"/>
      <c r="I84" s="204" t="s">
        <v>35</v>
      </c>
    </row>
    <row r="85" customFormat="false" ht="25.5" hidden="false" customHeight="true" outlineLevel="0" collapsed="false">
      <c r="A85" s="17" t="s">
        <v>8</v>
      </c>
      <c r="B85" s="99" t="s">
        <v>93</v>
      </c>
      <c r="C85" s="99"/>
      <c r="D85" s="99"/>
      <c r="E85" s="99"/>
      <c r="F85" s="99"/>
      <c r="G85" s="99"/>
      <c r="H85" s="99"/>
      <c r="I85" s="207" t="n">
        <f aca="false">ROUND((I43/12)*(30/30)*0.05,2)</f>
        <v>14.02</v>
      </c>
    </row>
    <row r="86" customFormat="false" ht="15.75" hidden="false" customHeight="true" outlineLevel="0" collapsed="false">
      <c r="A86" s="17" t="s">
        <v>10</v>
      </c>
      <c r="B86" s="83" t="s">
        <v>94</v>
      </c>
      <c r="C86" s="83"/>
      <c r="D86" s="83"/>
      <c r="E86" s="83"/>
      <c r="F86" s="83"/>
      <c r="G86" s="83"/>
      <c r="H86" s="83"/>
      <c r="I86" s="207" t="n">
        <f aca="false">ROUND(I85*H66,2)</f>
        <v>1.12</v>
      </c>
    </row>
    <row r="87" customFormat="false" ht="49.5" hidden="false" customHeight="true" outlineLevel="0" collapsed="false">
      <c r="A87" s="17" t="s">
        <v>12</v>
      </c>
      <c r="B87" s="95" t="s">
        <v>95</v>
      </c>
      <c r="C87" s="95"/>
      <c r="D87" s="95"/>
      <c r="E87" s="95"/>
      <c r="F87" s="95"/>
      <c r="G87" s="95"/>
      <c r="H87" s="95"/>
      <c r="I87" s="220" t="n">
        <f aca="false">ROUND(0.0024*I43,2)</f>
        <v>8.08</v>
      </c>
      <c r="K87" s="66"/>
    </row>
    <row r="88" customFormat="false" ht="30.75" hidden="false" customHeight="true" outlineLevel="0" collapsed="false">
      <c r="A88" s="100" t="s">
        <v>14</v>
      </c>
      <c r="B88" s="99" t="s">
        <v>96</v>
      </c>
      <c r="C88" s="99"/>
      <c r="D88" s="99"/>
      <c r="E88" s="99"/>
      <c r="F88" s="99"/>
      <c r="G88" s="99"/>
      <c r="H88" s="99"/>
      <c r="I88" s="207" t="n">
        <v>0</v>
      </c>
      <c r="N88" s="101"/>
    </row>
    <row r="89" customFormat="false" ht="18" hidden="false" customHeight="true" outlineLevel="0" collapsed="false">
      <c r="A89" s="17" t="s">
        <v>40</v>
      </c>
      <c r="B89" s="83" t="s">
        <v>97</v>
      </c>
      <c r="C89" s="83"/>
      <c r="D89" s="83"/>
      <c r="E89" s="83"/>
      <c r="F89" s="83"/>
      <c r="G89" s="83"/>
      <c r="H89" s="83"/>
      <c r="I89" s="207" t="n">
        <f aca="false">ROUND(I88*H69,2)</f>
        <v>0</v>
      </c>
      <c r="J89" s="13"/>
      <c r="K89" s="13"/>
      <c r="L89" s="102"/>
    </row>
    <row r="90" customFormat="false" ht="48.75" hidden="false" customHeight="true" outlineLevel="0" collapsed="false">
      <c r="A90" s="17" t="s">
        <v>42</v>
      </c>
      <c r="B90" s="95" t="s">
        <v>98</v>
      </c>
      <c r="C90" s="95"/>
      <c r="D90" s="95"/>
      <c r="E90" s="95"/>
      <c r="F90" s="95"/>
      <c r="G90" s="95"/>
      <c r="H90" s="95"/>
      <c r="I90" s="220" t="n">
        <f aca="false">ROUND(0.0476*I43,2)</f>
        <v>160.19</v>
      </c>
      <c r="J90" s="13"/>
      <c r="K90" s="66"/>
      <c r="L90" s="13"/>
    </row>
    <row r="91" customFormat="false" ht="20.25" hidden="false" customHeight="true" outlineLevel="0" collapsed="false">
      <c r="A91" s="60" t="s">
        <v>76</v>
      </c>
      <c r="B91" s="60"/>
      <c r="C91" s="60"/>
      <c r="D91" s="60"/>
      <c r="E91" s="60"/>
      <c r="F91" s="60"/>
      <c r="G91" s="60"/>
      <c r="H91" s="60"/>
      <c r="I91" s="210" t="n">
        <f aca="false">SUM(I85:I90)</f>
        <v>183.41</v>
      </c>
    </row>
    <row r="92" customFormat="false" ht="20.25" hidden="false" customHeight="true" outlineLevel="0" collapsed="false">
      <c r="A92" s="79" t="s">
        <v>99</v>
      </c>
      <c r="B92" s="79"/>
      <c r="C92" s="79"/>
      <c r="D92" s="79"/>
      <c r="E92" s="79"/>
      <c r="F92" s="79"/>
      <c r="G92" s="79"/>
      <c r="H92" s="79"/>
      <c r="I92" s="79"/>
    </row>
    <row r="93" customFormat="false" ht="15.75" hidden="false" customHeight="false" outlineLevel="0" collapsed="false">
      <c r="A93" s="62" t="s">
        <v>100</v>
      </c>
      <c r="B93" s="81" t="s">
        <v>101</v>
      </c>
      <c r="C93" s="81"/>
      <c r="D93" s="81"/>
      <c r="E93" s="81"/>
      <c r="F93" s="81"/>
      <c r="G93" s="81"/>
      <c r="H93" s="81"/>
      <c r="I93" s="204" t="s">
        <v>35</v>
      </c>
    </row>
    <row r="94" customFormat="false" ht="49.5" hidden="false" customHeight="true" outlineLevel="0" collapsed="false">
      <c r="A94" s="17" t="s">
        <v>8</v>
      </c>
      <c r="B94" s="95" t="s">
        <v>102</v>
      </c>
      <c r="C94" s="95"/>
      <c r="D94" s="95"/>
      <c r="E94" s="95"/>
      <c r="F94" s="95"/>
      <c r="G94" s="95"/>
      <c r="H94" s="95"/>
      <c r="I94" s="220" t="n">
        <f aca="false">ROUND(0.121*I43,2)</f>
        <v>407.21</v>
      </c>
      <c r="K94" s="66"/>
    </row>
    <row r="95" customFormat="false" ht="17.25" hidden="false" customHeight="true" outlineLevel="0" collapsed="false">
      <c r="A95" s="17" t="s">
        <v>10</v>
      </c>
      <c r="B95" s="52" t="s">
        <v>103</v>
      </c>
      <c r="C95" s="52"/>
      <c r="D95" s="52"/>
      <c r="E95" s="52"/>
      <c r="F95" s="52"/>
      <c r="G95" s="52"/>
      <c r="H95" s="52"/>
      <c r="I95" s="207" t="n">
        <f aca="false">ROUND(((I43/30)*5)/12,2)</f>
        <v>46.74</v>
      </c>
    </row>
    <row r="96" customFormat="false" ht="16.5" hidden="false" customHeight="true" outlineLevel="0" collapsed="false">
      <c r="A96" s="17" t="s">
        <v>12</v>
      </c>
      <c r="B96" s="52" t="s">
        <v>104</v>
      </c>
      <c r="C96" s="52"/>
      <c r="D96" s="52"/>
      <c r="E96" s="52"/>
      <c r="F96" s="52"/>
      <c r="G96" s="52"/>
      <c r="H96" s="52"/>
      <c r="I96" s="207" t="n">
        <f aca="false">ROUND((((I43/30)*5)/12)*0.015,2)</f>
        <v>0.7</v>
      </c>
    </row>
    <row r="97" customFormat="false" ht="17.25" hidden="false" customHeight="true" outlineLevel="0" collapsed="false">
      <c r="A97" s="17" t="s">
        <v>14</v>
      </c>
      <c r="B97" s="52" t="s">
        <v>105</v>
      </c>
      <c r="C97" s="52"/>
      <c r="D97" s="52"/>
      <c r="E97" s="52"/>
      <c r="F97" s="52"/>
      <c r="G97" s="52"/>
      <c r="H97" s="52"/>
      <c r="I97" s="207" t="n">
        <f aca="false">ROUND(((I43/30)*2.96)/12,2)</f>
        <v>27.67</v>
      </c>
    </row>
    <row r="98" customFormat="false" ht="16.5" hidden="false" customHeight="true" outlineLevel="0" collapsed="false">
      <c r="A98" s="17" t="s">
        <v>40</v>
      </c>
      <c r="B98" s="52" t="s">
        <v>106</v>
      </c>
      <c r="C98" s="52"/>
      <c r="D98" s="52"/>
      <c r="E98" s="52"/>
      <c r="F98" s="52"/>
      <c r="G98" s="52"/>
      <c r="H98" s="52"/>
      <c r="I98" s="207" t="n">
        <f aca="false">ROUND((((I43/30)*15)/12)*0.0078,2)</f>
        <v>1.09</v>
      </c>
    </row>
    <row r="99" customFormat="false" ht="15.75" hidden="false" customHeight="false" outlineLevel="0" collapsed="false">
      <c r="A99" s="97" t="s">
        <v>83</v>
      </c>
      <c r="B99" s="97"/>
      <c r="C99" s="97"/>
      <c r="D99" s="97"/>
      <c r="E99" s="97"/>
      <c r="F99" s="97"/>
      <c r="G99" s="97"/>
      <c r="H99" s="97"/>
      <c r="I99" s="223" t="n">
        <f aca="false">SUM(I94:I98)</f>
        <v>483.41</v>
      </c>
      <c r="K99" s="66"/>
    </row>
    <row r="100" customFormat="false" ht="18" hidden="false" customHeight="true" outlineLevel="0" collapsed="false">
      <c r="A100" s="17" t="s">
        <v>70</v>
      </c>
      <c r="B100" s="83" t="s">
        <v>107</v>
      </c>
      <c r="C100" s="83"/>
      <c r="D100" s="83"/>
      <c r="E100" s="83"/>
      <c r="F100" s="83"/>
      <c r="G100" s="83"/>
      <c r="H100" s="83"/>
      <c r="I100" s="224" t="n">
        <f aca="false">ROUND(I99*H69,2)</f>
        <v>170.64</v>
      </c>
      <c r="K100" s="66"/>
    </row>
    <row r="101" customFormat="false" ht="15.75" hidden="false" customHeight="false" outlineLevel="0" collapsed="false">
      <c r="A101" s="60" t="s">
        <v>76</v>
      </c>
      <c r="B101" s="60"/>
      <c r="C101" s="60"/>
      <c r="D101" s="60"/>
      <c r="E101" s="60"/>
      <c r="F101" s="60"/>
      <c r="G101" s="60"/>
      <c r="H101" s="60"/>
      <c r="I101" s="210" t="n">
        <f aca="false">SUM(I99+I100)</f>
        <v>654.05</v>
      </c>
      <c r="K101" s="66"/>
    </row>
    <row r="102" customFormat="false" ht="15.75" hidden="false" customHeight="false" outlineLevel="0" collapsed="false">
      <c r="A102" s="104" t="s">
        <v>108</v>
      </c>
      <c r="B102" s="104"/>
      <c r="C102" s="104"/>
      <c r="D102" s="104"/>
      <c r="E102" s="104"/>
      <c r="F102" s="104"/>
      <c r="G102" s="104"/>
      <c r="H102" s="104"/>
      <c r="I102" s="104"/>
    </row>
    <row r="103" customFormat="false" ht="15.75" hidden="false" customHeight="false" outlineLevel="0" collapsed="false">
      <c r="A103" s="62" t="n">
        <v>4</v>
      </c>
      <c r="B103" s="81" t="s">
        <v>109</v>
      </c>
      <c r="C103" s="81"/>
      <c r="D103" s="81"/>
      <c r="E103" s="81"/>
      <c r="F103" s="81"/>
      <c r="G103" s="81"/>
      <c r="H103" s="81"/>
      <c r="I103" s="204" t="s">
        <v>35</v>
      </c>
    </row>
    <row r="104" customFormat="false" ht="15.75" hidden="false" customHeight="false" outlineLevel="0" collapsed="false">
      <c r="A104" s="17" t="s">
        <v>61</v>
      </c>
      <c r="B104" s="83" t="s">
        <v>62</v>
      </c>
      <c r="C104" s="83"/>
      <c r="D104" s="83"/>
      <c r="E104" s="83"/>
      <c r="F104" s="83"/>
      <c r="G104" s="83"/>
      <c r="H104" s="83"/>
      <c r="I104" s="75" t="n">
        <f aca="false">I69</f>
        <v>1048.18</v>
      </c>
    </row>
    <row r="105" customFormat="false" ht="15.75" hidden="false" customHeight="false" outlineLevel="0" collapsed="false">
      <c r="A105" s="17" t="s">
        <v>80</v>
      </c>
      <c r="B105" s="83" t="s">
        <v>110</v>
      </c>
      <c r="C105" s="83"/>
      <c r="D105" s="83"/>
      <c r="E105" s="83"/>
      <c r="F105" s="83"/>
      <c r="G105" s="83"/>
      <c r="H105" s="83"/>
      <c r="I105" s="75" t="n">
        <f aca="false">I77</f>
        <v>379.44</v>
      </c>
    </row>
    <row r="106" customFormat="false" ht="15.75" hidden="false" customHeight="false" outlineLevel="0" collapsed="false">
      <c r="A106" s="17" t="s">
        <v>86</v>
      </c>
      <c r="B106" s="83" t="s">
        <v>87</v>
      </c>
      <c r="C106" s="83"/>
      <c r="D106" s="83"/>
      <c r="E106" s="83"/>
      <c r="F106" s="83"/>
      <c r="G106" s="83"/>
      <c r="H106" s="83"/>
      <c r="I106" s="75" t="n">
        <f aca="false">I82</f>
        <v>3.37</v>
      </c>
    </row>
    <row r="107" customFormat="false" ht="15.75" hidden="false" customHeight="false" outlineLevel="0" collapsed="false">
      <c r="A107" s="17" t="s">
        <v>91</v>
      </c>
      <c r="B107" s="83" t="s">
        <v>111</v>
      </c>
      <c r="C107" s="83"/>
      <c r="D107" s="83"/>
      <c r="E107" s="83"/>
      <c r="F107" s="83"/>
      <c r="G107" s="83"/>
      <c r="H107" s="83"/>
      <c r="I107" s="75" t="n">
        <f aca="false">I91</f>
        <v>183.41</v>
      </c>
    </row>
    <row r="108" customFormat="false" ht="15.75" hidden="false" customHeight="false" outlineLevel="0" collapsed="false">
      <c r="A108" s="17" t="s">
        <v>100</v>
      </c>
      <c r="B108" s="83" t="s">
        <v>112</v>
      </c>
      <c r="C108" s="83"/>
      <c r="D108" s="83"/>
      <c r="E108" s="83"/>
      <c r="F108" s="83"/>
      <c r="G108" s="83"/>
      <c r="H108" s="83"/>
      <c r="I108" s="75" t="n">
        <f aca="false">I101</f>
        <v>654.05</v>
      </c>
    </row>
    <row r="109" customFormat="false" ht="15.75" hidden="false" customHeight="false" outlineLevel="0" collapsed="false">
      <c r="A109" s="60" t="s">
        <v>76</v>
      </c>
      <c r="B109" s="60"/>
      <c r="C109" s="60"/>
      <c r="D109" s="60"/>
      <c r="E109" s="60"/>
      <c r="F109" s="60"/>
      <c r="G109" s="60"/>
      <c r="H109" s="60"/>
      <c r="I109" s="210" t="n">
        <f aca="false">SUM(I104:I108)</f>
        <v>2268.45</v>
      </c>
      <c r="K109" s="106"/>
    </row>
    <row r="110" customFormat="false" ht="16.5" hidden="false" customHeight="true" outlineLevel="0" collapsed="false">
      <c r="A110" s="107" t="s">
        <v>113</v>
      </c>
      <c r="B110" s="107"/>
      <c r="C110" s="107"/>
      <c r="D110" s="107"/>
      <c r="E110" s="107"/>
      <c r="F110" s="107"/>
      <c r="G110" s="107"/>
      <c r="H110" s="107"/>
      <c r="I110" s="107"/>
    </row>
    <row r="111" customFormat="false" ht="15.75" hidden="false" customHeight="false" outlineLevel="0" collapsed="false">
      <c r="A111" s="62" t="n">
        <v>5</v>
      </c>
      <c r="B111" s="63" t="s">
        <v>114</v>
      </c>
      <c r="C111" s="63"/>
      <c r="D111" s="63"/>
      <c r="E111" s="63"/>
      <c r="F111" s="63"/>
      <c r="G111" s="63"/>
      <c r="H111" s="108" t="s">
        <v>63</v>
      </c>
      <c r="I111" s="204" t="s">
        <v>35</v>
      </c>
    </row>
    <row r="112" customFormat="false" ht="47.25" hidden="false" customHeight="true" outlineLevel="0" collapsed="false">
      <c r="A112" s="109" t="s">
        <v>115</v>
      </c>
      <c r="B112" s="109"/>
      <c r="C112" s="109"/>
      <c r="D112" s="109"/>
      <c r="E112" s="109"/>
      <c r="F112" s="109"/>
      <c r="G112" s="109"/>
      <c r="H112" s="110" t="n">
        <v>0</v>
      </c>
      <c r="I112" s="226" t="n">
        <f aca="false">(I43+I52+I57+I109)</f>
        <v>6570.40825</v>
      </c>
    </row>
    <row r="113" customFormat="false" ht="15.75" hidden="false" customHeight="false" outlineLevel="0" collapsed="false">
      <c r="A113" s="17" t="s">
        <v>8</v>
      </c>
      <c r="B113" s="83" t="s">
        <v>116</v>
      </c>
      <c r="C113" s="83"/>
      <c r="D113" s="83"/>
      <c r="E113" s="83"/>
      <c r="F113" s="83"/>
      <c r="G113" s="83"/>
      <c r="H113" s="112" t="n">
        <f aca="false">'Alegrete 1.1'!H110</f>
        <v>0.1207</v>
      </c>
      <c r="I113" s="207" t="n">
        <f aca="false">ROUND(I112*H113,2)</f>
        <v>793.05</v>
      </c>
      <c r="J113" s="113"/>
    </row>
    <row r="114" customFormat="false" ht="46.5" hidden="false" customHeight="true" outlineLevel="0" collapsed="false">
      <c r="A114" s="109" t="s">
        <v>117</v>
      </c>
      <c r="B114" s="109"/>
      <c r="C114" s="109"/>
      <c r="D114" s="109"/>
      <c r="E114" s="109"/>
      <c r="F114" s="109"/>
      <c r="G114" s="109"/>
      <c r="H114" s="114" t="n">
        <v>0</v>
      </c>
      <c r="I114" s="228" t="n">
        <f aca="false">I112+I113</f>
        <v>7363.45825</v>
      </c>
      <c r="J114" s="113"/>
    </row>
    <row r="115" customFormat="false" ht="15.75" hidden="false" customHeight="false" outlineLevel="0" collapsed="false">
      <c r="A115" s="17" t="s">
        <v>10</v>
      </c>
      <c r="B115" s="83" t="s">
        <v>118</v>
      </c>
      <c r="C115" s="83"/>
      <c r="D115" s="83"/>
      <c r="E115" s="83"/>
      <c r="F115" s="83"/>
      <c r="G115" s="83"/>
      <c r="H115" s="112" t="n">
        <f aca="false">'Alegrete 1.1'!H112</f>
        <v>0.0818</v>
      </c>
      <c r="I115" s="207" t="n">
        <f aca="false">ROUND(I114*H115,2)</f>
        <v>602.33</v>
      </c>
      <c r="J115" s="116"/>
    </row>
    <row r="116" customFormat="false" ht="48" hidden="false" customHeight="true" outlineLevel="0" collapsed="false">
      <c r="A116" s="109" t="s">
        <v>119</v>
      </c>
      <c r="B116" s="109"/>
      <c r="C116" s="109"/>
      <c r="D116" s="109"/>
      <c r="E116" s="109"/>
      <c r="F116" s="109"/>
      <c r="G116" s="109"/>
      <c r="H116" s="117" t="n">
        <v>0</v>
      </c>
      <c r="I116" s="231" t="n">
        <f aca="false">I114+I115</f>
        <v>7965.78825</v>
      </c>
      <c r="J116" s="116"/>
    </row>
    <row r="117" customFormat="false" ht="15.75" hidden="false" customHeight="false" outlineLevel="0" collapsed="false">
      <c r="A117" s="17" t="s">
        <v>12</v>
      </c>
      <c r="B117" s="83" t="s">
        <v>120</v>
      </c>
      <c r="C117" s="83"/>
      <c r="D117" s="83"/>
      <c r="E117" s="83"/>
      <c r="F117" s="83"/>
      <c r="G117" s="83"/>
      <c r="H117" s="119" t="s">
        <v>198</v>
      </c>
      <c r="I117" s="232" t="s">
        <v>198</v>
      </c>
      <c r="J117" s="116"/>
    </row>
    <row r="118" customFormat="false" ht="15.75" hidden="false" customHeight="false" outlineLevel="0" collapsed="false">
      <c r="A118" s="17"/>
      <c r="B118" s="83" t="s">
        <v>121</v>
      </c>
      <c r="C118" s="83"/>
      <c r="D118" s="83"/>
      <c r="E118" s="83"/>
      <c r="F118" s="83"/>
      <c r="G118" s="83"/>
      <c r="H118" s="119" t="s">
        <v>198</v>
      </c>
      <c r="I118" s="232" t="s">
        <v>198</v>
      </c>
    </row>
    <row r="119" customFormat="false" ht="29.25" hidden="false" customHeight="true" outlineLevel="0" collapsed="false">
      <c r="A119" s="17"/>
      <c r="B119" s="67" t="s">
        <v>199</v>
      </c>
      <c r="C119" s="67"/>
      <c r="D119" s="67"/>
      <c r="E119" s="67"/>
      <c r="F119" s="67"/>
      <c r="G119" s="67"/>
      <c r="H119" s="121" t="n">
        <v>0.03</v>
      </c>
      <c r="I119" s="207" t="n">
        <f aca="false">ROUND(($I$116/(1-H126))*H119,2)</f>
        <v>254.63</v>
      </c>
    </row>
    <row r="120" customFormat="false" ht="25.5" hidden="false" customHeight="true" outlineLevel="0" collapsed="false">
      <c r="A120" s="17"/>
      <c r="B120" s="67" t="s">
        <v>200</v>
      </c>
      <c r="C120" s="67"/>
      <c r="D120" s="67"/>
      <c r="E120" s="67"/>
      <c r="F120" s="67"/>
      <c r="G120" s="67"/>
      <c r="H120" s="121" t="n">
        <v>0.0065</v>
      </c>
      <c r="I120" s="207" t="n">
        <f aca="false">ROUND(($I$116/(1-H126))*H120,2)</f>
        <v>55.17</v>
      </c>
      <c r="K120" s="66"/>
    </row>
    <row r="121" customFormat="false" ht="30.75" hidden="false" customHeight="true" outlineLevel="0" collapsed="false">
      <c r="A121" s="17"/>
      <c r="B121" s="122" t="s">
        <v>124</v>
      </c>
      <c r="C121" s="122"/>
      <c r="D121" s="122"/>
      <c r="E121" s="122"/>
      <c r="F121" s="122"/>
      <c r="G121" s="122"/>
      <c r="H121" s="121" t="s">
        <v>198</v>
      </c>
      <c r="I121" s="232" t="s">
        <v>198</v>
      </c>
      <c r="K121" s="66"/>
    </row>
    <row r="122" customFormat="false" ht="15.75" hidden="false" customHeight="false" outlineLevel="0" collapsed="false">
      <c r="A122" s="17"/>
      <c r="B122" s="83" t="s">
        <v>125</v>
      </c>
      <c r="C122" s="83"/>
      <c r="D122" s="83"/>
      <c r="E122" s="83"/>
      <c r="F122" s="83"/>
      <c r="G122" s="83"/>
      <c r="H122" s="119" t="s">
        <v>198</v>
      </c>
      <c r="I122" s="232" t="s">
        <v>198</v>
      </c>
    </row>
    <row r="123" customFormat="false" ht="15.75" hidden="false" customHeight="false" outlineLevel="0" collapsed="false">
      <c r="A123" s="17"/>
      <c r="B123" s="83" t="s">
        <v>126</v>
      </c>
      <c r="C123" s="83"/>
      <c r="D123" s="83"/>
      <c r="E123" s="83"/>
      <c r="F123" s="83"/>
      <c r="G123" s="83"/>
      <c r="H123" s="119" t="s">
        <v>198</v>
      </c>
      <c r="I123" s="232" t="s">
        <v>198</v>
      </c>
      <c r="K123" s="66"/>
    </row>
    <row r="124" customFormat="false" ht="15.75" hidden="false" customHeight="false" outlineLevel="0" collapsed="false">
      <c r="A124" s="17"/>
      <c r="B124" s="52" t="s">
        <v>245</v>
      </c>
      <c r="C124" s="52"/>
      <c r="D124" s="52"/>
      <c r="E124" s="52"/>
      <c r="F124" s="52"/>
      <c r="G124" s="52"/>
      <c r="H124" s="124" t="n">
        <v>0.025</v>
      </c>
      <c r="I124" s="207" t="n">
        <f aca="false">ROUND(($I$116/(1-H126))*H124,2)</f>
        <v>212.19</v>
      </c>
    </row>
    <row r="125" customFormat="false" ht="15.75" hidden="false" customHeight="false" outlineLevel="0" collapsed="false">
      <c r="A125" s="125" t="s">
        <v>76</v>
      </c>
      <c r="B125" s="125"/>
      <c r="C125" s="125"/>
      <c r="D125" s="125"/>
      <c r="E125" s="125"/>
      <c r="F125" s="125"/>
      <c r="G125" s="125"/>
      <c r="H125" s="125"/>
      <c r="I125" s="234" t="n">
        <f aca="false">I113+I115+I119+I120+I124</f>
        <v>1917.37</v>
      </c>
    </row>
    <row r="126" customFormat="false" ht="15.75" hidden="false" customHeight="false" outlineLevel="0" collapsed="false">
      <c r="A126" s="127" t="s">
        <v>128</v>
      </c>
      <c r="B126" s="127"/>
      <c r="C126" s="127"/>
      <c r="D126" s="127"/>
      <c r="E126" s="127"/>
      <c r="F126" s="127"/>
      <c r="G126" s="127"/>
      <c r="H126" s="128" t="n">
        <f aca="false">SUM(H119:H124)</f>
        <v>0.0615</v>
      </c>
      <c r="I126" s="235" t="n">
        <f aca="false">SUM(I119+I120+I124)</f>
        <v>521.99</v>
      </c>
    </row>
    <row r="127" customFormat="false" ht="15.75" hidden="false" customHeight="false" outlineLevel="0" collapsed="false">
      <c r="A127" s="130" t="s">
        <v>129</v>
      </c>
      <c r="B127" s="130"/>
      <c r="C127" s="293" t="s">
        <v>130</v>
      </c>
      <c r="D127" s="293"/>
      <c r="E127" s="293"/>
      <c r="F127" s="293"/>
      <c r="G127" s="293"/>
      <c r="H127" s="293"/>
      <c r="I127" s="293"/>
    </row>
    <row r="128" customFormat="false" ht="15" hidden="false" customHeight="false" outlineLevel="0" collapsed="false">
      <c r="A128" s="130"/>
      <c r="B128" s="130"/>
      <c r="C128" s="294" t="s">
        <v>131</v>
      </c>
      <c r="D128" s="294"/>
      <c r="E128" s="294"/>
      <c r="F128" s="294"/>
      <c r="G128" s="294"/>
      <c r="H128" s="294"/>
      <c r="I128" s="294"/>
    </row>
    <row r="129" customFormat="false" ht="15.75" hidden="false" customHeight="false" outlineLevel="0" collapsed="false">
      <c r="A129" s="133" t="s">
        <v>132</v>
      </c>
      <c r="B129" s="133"/>
      <c r="C129" s="133"/>
      <c r="D129" s="133"/>
      <c r="E129" s="133"/>
      <c r="F129" s="133"/>
      <c r="G129" s="133"/>
      <c r="H129" s="133"/>
      <c r="I129" s="133"/>
    </row>
    <row r="130" customFormat="false" ht="15.75" hidden="false" customHeight="false" outlineLevel="0" collapsed="false">
      <c r="A130" s="94" t="s">
        <v>133</v>
      </c>
      <c r="B130" s="94"/>
      <c r="C130" s="94"/>
      <c r="D130" s="94"/>
      <c r="E130" s="94"/>
      <c r="F130" s="94"/>
      <c r="G130" s="94"/>
      <c r="H130" s="94"/>
      <c r="I130" s="94"/>
    </row>
    <row r="131" customFormat="false" ht="15.75" hidden="false" customHeight="false" outlineLevel="0" collapsed="false">
      <c r="A131" s="295"/>
      <c r="B131" s="295"/>
      <c r="C131" s="295"/>
      <c r="D131" s="295"/>
      <c r="E131" s="295"/>
      <c r="F131" s="295"/>
      <c r="G131" s="295"/>
      <c r="H131" s="295"/>
      <c r="I131" s="295"/>
    </row>
    <row r="132" customFormat="false" ht="15.75" hidden="false" customHeight="false" outlineLevel="0" collapsed="false">
      <c r="A132" s="33" t="s">
        <v>134</v>
      </c>
      <c r="B132" s="33"/>
      <c r="C132" s="33"/>
      <c r="D132" s="33"/>
      <c r="E132" s="33"/>
      <c r="F132" s="33"/>
      <c r="G132" s="33"/>
      <c r="H132" s="33"/>
      <c r="I132" s="33"/>
    </row>
    <row r="133" customFormat="false" ht="15.75" hidden="false" customHeight="false" outlineLevel="0" collapsed="false">
      <c r="A133" s="135" t="s">
        <v>135</v>
      </c>
      <c r="B133" s="135"/>
      <c r="C133" s="135"/>
      <c r="D133" s="135"/>
      <c r="E133" s="135"/>
      <c r="F133" s="135"/>
      <c r="G133" s="135"/>
      <c r="H133" s="135"/>
      <c r="I133" s="135"/>
    </row>
    <row r="134" customFormat="false" ht="15.75" hidden="false" customHeight="false" outlineLevel="0" collapsed="false">
      <c r="A134" s="136" t="s">
        <v>136</v>
      </c>
      <c r="B134" s="136"/>
      <c r="C134" s="136"/>
      <c r="D134" s="136"/>
      <c r="E134" s="136"/>
      <c r="F134" s="136"/>
      <c r="G134" s="136"/>
      <c r="H134" s="136"/>
      <c r="I134" s="313" t="s">
        <v>35</v>
      </c>
    </row>
    <row r="135" customFormat="false" ht="15.75" hidden="false" customHeight="false" outlineLevel="0" collapsed="false">
      <c r="A135" s="14" t="s">
        <v>8</v>
      </c>
      <c r="B135" s="15" t="s">
        <v>137</v>
      </c>
      <c r="C135" s="15"/>
      <c r="D135" s="15"/>
      <c r="E135" s="15"/>
      <c r="F135" s="15"/>
      <c r="G135" s="15"/>
      <c r="H135" s="15"/>
      <c r="I135" s="314" t="n">
        <f aca="false">I43</f>
        <v>3365.332</v>
      </c>
    </row>
    <row r="136" customFormat="false" ht="15.75" hidden="false" customHeight="false" outlineLevel="0" collapsed="false">
      <c r="A136" s="14" t="s">
        <v>10</v>
      </c>
      <c r="B136" s="15" t="s">
        <v>138</v>
      </c>
      <c r="C136" s="15"/>
      <c r="D136" s="15"/>
      <c r="E136" s="15"/>
      <c r="F136" s="15"/>
      <c r="G136" s="15"/>
      <c r="H136" s="15"/>
      <c r="I136" s="314" t="n">
        <f aca="false">I52</f>
        <v>798.95</v>
      </c>
    </row>
    <row r="137" customFormat="false" ht="15.75" hidden="false" customHeight="false" outlineLevel="0" collapsed="false">
      <c r="A137" s="14" t="s">
        <v>12</v>
      </c>
      <c r="B137" s="15" t="s">
        <v>139</v>
      </c>
      <c r="C137" s="15"/>
      <c r="D137" s="15"/>
      <c r="E137" s="15"/>
      <c r="F137" s="15"/>
      <c r="G137" s="15"/>
      <c r="H137" s="15"/>
      <c r="I137" s="315" t="n">
        <f aca="false">I57</f>
        <v>137.67625</v>
      </c>
    </row>
    <row r="138" customFormat="false" ht="15.75" hidden="false" customHeight="false" outlineLevel="0" collapsed="false">
      <c r="A138" s="14" t="s">
        <v>14</v>
      </c>
      <c r="B138" s="15" t="s">
        <v>109</v>
      </c>
      <c r="C138" s="15"/>
      <c r="D138" s="15"/>
      <c r="E138" s="15"/>
      <c r="F138" s="15"/>
      <c r="G138" s="15"/>
      <c r="H138" s="15"/>
      <c r="I138" s="314" t="n">
        <f aca="false">I109</f>
        <v>2268.45</v>
      </c>
    </row>
    <row r="139" customFormat="false" ht="15.75" hidden="false" customHeight="false" outlineLevel="0" collapsed="false">
      <c r="A139" s="140" t="s">
        <v>140</v>
      </c>
      <c r="B139" s="140"/>
      <c r="C139" s="140"/>
      <c r="D139" s="140"/>
      <c r="E139" s="140"/>
      <c r="F139" s="140"/>
      <c r="G139" s="140"/>
      <c r="H139" s="140"/>
      <c r="I139" s="316" t="n">
        <f aca="false">SUM(I135:I138)</f>
        <v>6570.40825</v>
      </c>
    </row>
    <row r="140" customFormat="false" ht="15.75" hidden="false" customHeight="false" outlineLevel="0" collapsed="false">
      <c r="A140" s="14" t="s">
        <v>40</v>
      </c>
      <c r="B140" s="15" t="s">
        <v>141</v>
      </c>
      <c r="C140" s="15"/>
      <c r="D140" s="15"/>
      <c r="E140" s="15"/>
      <c r="F140" s="15"/>
      <c r="G140" s="15"/>
      <c r="H140" s="15"/>
      <c r="I140" s="314" t="n">
        <f aca="false">I125</f>
        <v>1917.37</v>
      </c>
    </row>
    <row r="141" customFormat="false" ht="15.75" hidden="false" customHeight="false" outlineLevel="0" collapsed="false">
      <c r="A141" s="143" t="s">
        <v>142</v>
      </c>
      <c r="B141" s="143"/>
      <c r="C141" s="143"/>
      <c r="D141" s="143"/>
      <c r="E141" s="143"/>
      <c r="F141" s="143"/>
      <c r="G141" s="143"/>
      <c r="H141" s="143"/>
      <c r="I141" s="317" t="n">
        <f aca="false">SUM(I139+I140)</f>
        <v>8487.77825</v>
      </c>
    </row>
    <row r="142" customFormat="false" ht="15.75" hidden="false" customHeight="false" outlineLevel="0" collapsed="false">
      <c r="A142" s="301"/>
      <c r="B142" s="301"/>
      <c r="C142" s="301"/>
      <c r="D142" s="301"/>
      <c r="E142" s="301"/>
      <c r="F142" s="301"/>
      <c r="G142" s="301"/>
      <c r="H142" s="301"/>
      <c r="I142" s="301"/>
    </row>
    <row r="143" customFormat="false" ht="15.75" hidden="false" customHeight="false" outlineLevel="0" collapsed="false">
      <c r="A143" s="33" t="s">
        <v>143</v>
      </c>
      <c r="B143" s="33"/>
      <c r="C143" s="33"/>
      <c r="D143" s="33"/>
      <c r="E143" s="33"/>
      <c r="F143" s="33"/>
      <c r="G143" s="33"/>
      <c r="H143" s="33"/>
      <c r="I143" s="33"/>
    </row>
    <row r="144" customFormat="false" ht="15.75" hidden="false" customHeight="false" outlineLevel="0" collapsed="false">
      <c r="A144" s="146" t="s">
        <v>144</v>
      </c>
      <c r="B144" s="146"/>
      <c r="C144" s="146"/>
      <c r="D144" s="146"/>
      <c r="E144" s="146"/>
      <c r="F144" s="146"/>
      <c r="G144" s="146"/>
      <c r="H144" s="146"/>
      <c r="I144" s="146"/>
    </row>
    <row r="145" customFormat="false" ht="47.25" hidden="false" customHeight="true" outlineLevel="0" collapsed="false">
      <c r="A145" s="147" t="s">
        <v>145</v>
      </c>
      <c r="B145" s="147"/>
      <c r="C145" s="148" t="s">
        <v>146</v>
      </c>
      <c r="D145" s="148"/>
      <c r="E145" s="149" t="s">
        <v>147</v>
      </c>
      <c r="F145" s="148" t="s">
        <v>148</v>
      </c>
      <c r="G145" s="148"/>
      <c r="H145" s="148" t="s">
        <v>149</v>
      </c>
      <c r="I145" s="247" t="s">
        <v>150</v>
      </c>
    </row>
    <row r="146" customFormat="false" ht="16.5" hidden="false" customHeight="true" outlineLevel="0" collapsed="false">
      <c r="A146" s="151" t="s">
        <v>26</v>
      </c>
      <c r="B146" s="151"/>
      <c r="C146" s="152" t="n">
        <f aca="false">I141</f>
        <v>8487.77825</v>
      </c>
      <c r="D146" s="152"/>
      <c r="E146" s="153" t="n">
        <v>2</v>
      </c>
      <c r="F146" s="154" t="n">
        <f aca="false">C146</f>
        <v>8487.77825</v>
      </c>
      <c r="G146" s="154"/>
      <c r="H146" s="155" t="n">
        <v>2</v>
      </c>
      <c r="I146" s="253" t="n">
        <f aca="false">F146*H146</f>
        <v>16975.5565</v>
      </c>
    </row>
    <row r="147" customFormat="false" ht="15.75" hidden="false" customHeight="false" outlineLevel="0" collapsed="false">
      <c r="A147" s="301"/>
      <c r="B147" s="301"/>
      <c r="C147" s="301"/>
      <c r="D147" s="301"/>
      <c r="E147" s="301"/>
      <c r="F147" s="301"/>
      <c r="G147" s="301"/>
      <c r="H147" s="301"/>
      <c r="I147" s="301"/>
    </row>
    <row r="148" customFormat="false" ht="15.75" hidden="false" customHeight="false" outlineLevel="0" collapsed="false">
      <c r="A148" s="33" t="s">
        <v>151</v>
      </c>
      <c r="B148" s="33"/>
      <c r="C148" s="33"/>
      <c r="D148" s="33"/>
      <c r="E148" s="33"/>
      <c r="F148" s="33"/>
      <c r="G148" s="33"/>
      <c r="H148" s="33"/>
      <c r="I148" s="33"/>
    </row>
    <row r="149" customFormat="false" ht="15.75" hidden="false" customHeight="false" outlineLevel="0" collapsed="false">
      <c r="A149" s="146" t="s">
        <v>152</v>
      </c>
      <c r="B149" s="146"/>
      <c r="C149" s="146"/>
      <c r="D149" s="146"/>
      <c r="E149" s="146"/>
      <c r="F149" s="146"/>
      <c r="G149" s="146"/>
      <c r="H149" s="146"/>
      <c r="I149" s="146"/>
    </row>
    <row r="150" customFormat="false" ht="15.75" hidden="false" customHeight="false" outlineLevel="0" collapsed="false">
      <c r="A150" s="157" t="s">
        <v>153</v>
      </c>
      <c r="B150" s="157"/>
      <c r="C150" s="157"/>
      <c r="D150" s="157"/>
      <c r="E150" s="157"/>
      <c r="F150" s="157"/>
      <c r="G150" s="157"/>
      <c r="H150" s="157"/>
      <c r="I150" s="157"/>
    </row>
    <row r="151" customFormat="false" ht="15.75" hidden="false" customHeight="false" outlineLevel="0" collapsed="false">
      <c r="A151" s="158" t="s">
        <v>8</v>
      </c>
      <c r="B151" s="15" t="s">
        <v>154</v>
      </c>
      <c r="C151" s="15"/>
      <c r="D151" s="15"/>
      <c r="E151" s="15"/>
      <c r="F151" s="15"/>
      <c r="G151" s="15"/>
      <c r="H151" s="15"/>
      <c r="I151" s="318" t="n">
        <f aca="false">F146</f>
        <v>8487.77825</v>
      </c>
    </row>
    <row r="152" customFormat="false" ht="15.75" hidden="false" customHeight="false" outlineLevel="0" collapsed="false">
      <c r="A152" s="158" t="s">
        <v>10</v>
      </c>
      <c r="B152" s="15" t="s">
        <v>155</v>
      </c>
      <c r="C152" s="15"/>
      <c r="D152" s="15"/>
      <c r="E152" s="15"/>
      <c r="F152" s="15"/>
      <c r="G152" s="15"/>
      <c r="H152" s="15"/>
      <c r="I152" s="319" t="n">
        <f aca="false">I146</f>
        <v>16975.5565</v>
      </c>
    </row>
    <row r="153" customFormat="false" ht="16.5" hidden="false" customHeight="true" outlineLevel="0" collapsed="false">
      <c r="A153" s="161" t="s">
        <v>12</v>
      </c>
      <c r="B153" s="162" t="s">
        <v>156</v>
      </c>
      <c r="C153" s="162"/>
      <c r="D153" s="162"/>
      <c r="E153" s="162"/>
      <c r="F153" s="162"/>
      <c r="G153" s="162"/>
      <c r="H153" s="162"/>
      <c r="I153" s="320" t="n">
        <f aca="false">I152*12</f>
        <v>203706.678</v>
      </c>
    </row>
  </sheetData>
  <mergeCells count="158">
    <mergeCell ref="A8:I8"/>
    <mergeCell ref="A9:I9"/>
    <mergeCell ref="A10:I10"/>
    <mergeCell ref="A11:I11"/>
    <mergeCell ref="A12:I12"/>
    <mergeCell ref="A13:I13"/>
    <mergeCell ref="A14:I14"/>
    <mergeCell ref="B15:H15"/>
    <mergeCell ref="B16:H16"/>
    <mergeCell ref="B17:H17"/>
    <mergeCell ref="B18:H18"/>
    <mergeCell ref="A19:I19"/>
    <mergeCell ref="A20:D20"/>
    <mergeCell ref="E20:F20"/>
    <mergeCell ref="G20:I20"/>
    <mergeCell ref="A21:D21"/>
    <mergeCell ref="E21:F22"/>
    <mergeCell ref="G21:I22"/>
    <mergeCell ref="A22:D22"/>
    <mergeCell ref="B23:I23"/>
    <mergeCell ref="A24:I24"/>
    <mergeCell ref="A25:I25"/>
    <mergeCell ref="A26:I26"/>
    <mergeCell ref="B27:H27"/>
    <mergeCell ref="B28:H28"/>
    <mergeCell ref="B29:H29"/>
    <mergeCell ref="B30:H30"/>
    <mergeCell ref="B31:H31"/>
    <mergeCell ref="B32:H32"/>
    <mergeCell ref="B33:H33"/>
    <mergeCell ref="A34:I34"/>
    <mergeCell ref="A35:I35"/>
    <mergeCell ref="B36:H36"/>
    <mergeCell ref="B37:H37"/>
    <mergeCell ref="B38:H38"/>
    <mergeCell ref="B39:H39"/>
    <mergeCell ref="B40:H40"/>
    <mergeCell ref="B41:H41"/>
    <mergeCell ref="B42:H42"/>
    <mergeCell ref="A43:H43"/>
    <mergeCell ref="A44:I44"/>
    <mergeCell ref="B45:H45"/>
    <mergeCell ref="A46:A48"/>
    <mergeCell ref="B46:H46"/>
    <mergeCell ref="B47:G47"/>
    <mergeCell ref="B48:G48"/>
    <mergeCell ref="A49:A50"/>
    <mergeCell ref="B49:H49"/>
    <mergeCell ref="B50:G50"/>
    <mergeCell ref="B51:H51"/>
    <mergeCell ref="A52:H52"/>
    <mergeCell ref="A53:I53"/>
    <mergeCell ref="A54:I54"/>
    <mergeCell ref="B55:H55"/>
    <mergeCell ref="B56:H56"/>
    <mergeCell ref="A57:H57"/>
    <mergeCell ref="A58:I58"/>
    <mergeCell ref="A59:I59"/>
    <mergeCell ref="B60:G60"/>
    <mergeCell ref="B61:G61"/>
    <mergeCell ref="B62:G62"/>
    <mergeCell ref="B63:G63"/>
    <mergeCell ref="B64:G64"/>
    <mergeCell ref="B65:G65"/>
    <mergeCell ref="B66:G66"/>
    <mergeCell ref="B67:E67"/>
    <mergeCell ref="B68:G68"/>
    <mergeCell ref="A69:G69"/>
    <mergeCell ref="A70:I70"/>
    <mergeCell ref="A71:I71"/>
    <mergeCell ref="A72:I72"/>
    <mergeCell ref="B73:H73"/>
    <mergeCell ref="B74:H74"/>
    <mergeCell ref="A75:H75"/>
    <mergeCell ref="B76:H76"/>
    <mergeCell ref="A77:H77"/>
    <mergeCell ref="A78:I78"/>
    <mergeCell ref="B79:H79"/>
    <mergeCell ref="B80:H80"/>
    <mergeCell ref="B81:H81"/>
    <mergeCell ref="A82:H82"/>
    <mergeCell ref="A83:I83"/>
    <mergeCell ref="B84:H84"/>
    <mergeCell ref="B85:H85"/>
    <mergeCell ref="B86:H86"/>
    <mergeCell ref="B87:H87"/>
    <mergeCell ref="B88:H88"/>
    <mergeCell ref="B89:H89"/>
    <mergeCell ref="B90:H90"/>
    <mergeCell ref="A91:H91"/>
    <mergeCell ref="A92:I92"/>
    <mergeCell ref="B93:H93"/>
    <mergeCell ref="B94:H94"/>
    <mergeCell ref="B95:H95"/>
    <mergeCell ref="B96:H96"/>
    <mergeCell ref="B97:H97"/>
    <mergeCell ref="B98:H98"/>
    <mergeCell ref="A99:H99"/>
    <mergeCell ref="B100:H100"/>
    <mergeCell ref="A101:H101"/>
    <mergeCell ref="A102:I102"/>
    <mergeCell ref="B103:H103"/>
    <mergeCell ref="B104:H104"/>
    <mergeCell ref="B105:H105"/>
    <mergeCell ref="B106:H106"/>
    <mergeCell ref="B107:H107"/>
    <mergeCell ref="B108:H108"/>
    <mergeCell ref="A109:H109"/>
    <mergeCell ref="A110:I110"/>
    <mergeCell ref="B111:G111"/>
    <mergeCell ref="A112:G112"/>
    <mergeCell ref="B113:G113"/>
    <mergeCell ref="A114:G114"/>
    <mergeCell ref="B115:G115"/>
    <mergeCell ref="A116:G116"/>
    <mergeCell ref="A117:A124"/>
    <mergeCell ref="B117:G117"/>
    <mergeCell ref="B118:G118"/>
    <mergeCell ref="B119:G119"/>
    <mergeCell ref="B120:G120"/>
    <mergeCell ref="B121:G121"/>
    <mergeCell ref="B122:G122"/>
    <mergeCell ref="B123:G123"/>
    <mergeCell ref="B124:G124"/>
    <mergeCell ref="A125:H125"/>
    <mergeCell ref="A126:G126"/>
    <mergeCell ref="A127:B128"/>
    <mergeCell ref="C127:I127"/>
    <mergeCell ref="C128:I128"/>
    <mergeCell ref="A129:I129"/>
    <mergeCell ref="A130:I130"/>
    <mergeCell ref="A131:I131"/>
    <mergeCell ref="A132:I132"/>
    <mergeCell ref="A133:I133"/>
    <mergeCell ref="A134:H134"/>
    <mergeCell ref="B135:H135"/>
    <mergeCell ref="B136:H136"/>
    <mergeCell ref="B137:H137"/>
    <mergeCell ref="B138:H138"/>
    <mergeCell ref="A139:H139"/>
    <mergeCell ref="B140:H140"/>
    <mergeCell ref="A141:H141"/>
    <mergeCell ref="A142:I142"/>
    <mergeCell ref="A143:I143"/>
    <mergeCell ref="A144:I144"/>
    <mergeCell ref="A145:B145"/>
    <mergeCell ref="C145:D145"/>
    <mergeCell ref="F145:G145"/>
    <mergeCell ref="A146:B146"/>
    <mergeCell ref="C146:D146"/>
    <mergeCell ref="F146:G146"/>
    <mergeCell ref="A147:I147"/>
    <mergeCell ref="A148:I148"/>
    <mergeCell ref="A149:I149"/>
    <mergeCell ref="A150:I150"/>
    <mergeCell ref="B151:H151"/>
    <mergeCell ref="B152:H152"/>
    <mergeCell ref="B153:H153"/>
  </mergeCells>
  <printOptions headings="false" gridLines="false" gridLinesSet="true" horizontalCentered="false" verticalCentered="false"/>
  <pageMargins left="0.698611111111111" right="0.698611111111111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7" man="true" max="16383" min="0"/>
    <brk id="109" man="true" max="16383" min="0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N150"/>
  <sheetViews>
    <sheetView showFormulas="false" showGridLines="true" showRowColHeaders="true" showZeros="true" rightToLeft="false" tabSelected="false" showOutlineSymbols="true" defaultGridColor="true" view="pageBreakPreview" topLeftCell="A126" colorId="64" zoomScale="76" zoomScaleNormal="100" zoomScalePageLayoutView="76" workbookViewId="0">
      <selection pane="topLeft" activeCell="I39" activeCellId="0" sqref="I39"/>
    </sheetView>
  </sheetViews>
  <sheetFormatPr defaultRowHeight="15" zeroHeight="false" outlineLevelRow="0" outlineLevelCol="0"/>
  <cols>
    <col collapsed="false" customWidth="true" hidden="false" outlineLevel="0" max="1" min="1" style="1" width="13.02"/>
    <col collapsed="false" customWidth="true" hidden="false" outlineLevel="0" max="3" min="2" style="1" width="15"/>
    <col collapsed="false" customWidth="true" hidden="false" outlineLevel="0" max="5" min="4" style="1" width="14.43"/>
    <col collapsed="false" customWidth="true" hidden="false" outlineLevel="0" max="6" min="6" style="1" width="13.57"/>
    <col collapsed="false" customWidth="true" hidden="false" outlineLevel="0" max="7" min="7" style="1" width="18.71"/>
    <col collapsed="false" customWidth="true" hidden="false" outlineLevel="0" max="8" min="8" style="1" width="25.29"/>
    <col collapsed="false" customWidth="true" hidden="false" outlineLevel="0" max="9" min="9" style="1" width="45.42"/>
    <col collapsed="false" customWidth="true" hidden="true" outlineLevel="0" max="11" min="10" style="1" width="9"/>
    <col collapsed="false" customWidth="true" hidden="false" outlineLevel="0" max="12" min="12" style="1" width="58.57"/>
    <col collapsed="false" customWidth="true" hidden="false" outlineLevel="0" max="1025" min="13" style="1" width="28.57"/>
  </cols>
  <sheetData>
    <row r="1" s="101" customFormat="true" ht="15.75" hidden="false" customHeight="false" outlineLevel="0" collapsed="false">
      <c r="A1" s="173" t="s">
        <v>178</v>
      </c>
      <c r="I1" s="261"/>
    </row>
    <row r="2" s="101" customFormat="true" ht="15.75" hidden="false" customHeight="false" outlineLevel="0" collapsed="false">
      <c r="A2" s="173" t="s">
        <v>179</v>
      </c>
      <c r="I2" s="261"/>
    </row>
    <row r="3" s="101" customFormat="true" ht="15.75" hidden="false" customHeight="false" outlineLevel="0" collapsed="false">
      <c r="A3" s="173" t="s">
        <v>180</v>
      </c>
      <c r="I3" s="261"/>
    </row>
    <row r="4" s="101" customFormat="true" ht="15.75" hidden="false" customHeight="false" outlineLevel="0" collapsed="false">
      <c r="A4" s="173" t="s">
        <v>181</v>
      </c>
      <c r="I4" s="261"/>
    </row>
    <row r="5" s="101" customFormat="true" ht="15.75" hidden="false" customHeight="false" outlineLevel="0" collapsed="false">
      <c r="A5" s="173" t="s">
        <v>182</v>
      </c>
      <c r="I5" s="261"/>
    </row>
    <row r="6" s="101" customFormat="true" ht="15.75" hidden="false" customHeight="false" outlineLevel="0" collapsed="false">
      <c r="A6" s="173" t="s">
        <v>183</v>
      </c>
      <c r="I6" s="261"/>
    </row>
    <row r="7" customFormat="false" ht="15.75" hidden="false" customHeight="false" outlineLevel="0" collapsed="false">
      <c r="A7" s="174" t="s">
        <v>184</v>
      </c>
      <c r="I7" s="262"/>
    </row>
    <row r="8" customFormat="false" ht="15.75" hidden="false" customHeight="false" outlineLevel="0" collapsed="false">
      <c r="A8" s="263" t="s">
        <v>1</v>
      </c>
      <c r="B8" s="263"/>
      <c r="C8" s="263"/>
      <c r="D8" s="263"/>
      <c r="E8" s="263"/>
      <c r="F8" s="263"/>
      <c r="G8" s="263"/>
      <c r="H8" s="263"/>
      <c r="I8" s="263"/>
    </row>
    <row r="9" customFormat="false" ht="15.75" hidden="false" customHeight="false" outlineLevel="0" collapsed="false">
      <c r="A9" s="4" t="s">
        <v>2</v>
      </c>
      <c r="B9" s="4"/>
      <c r="C9" s="4"/>
      <c r="D9" s="4"/>
      <c r="E9" s="4"/>
      <c r="F9" s="4"/>
      <c r="G9" s="4"/>
      <c r="H9" s="4"/>
      <c r="I9" s="4"/>
    </row>
    <row r="10" customFormat="false" ht="15.75" hidden="false" customHeight="false" outlineLevel="0" collapsed="false">
      <c r="A10" s="5" t="s">
        <v>3</v>
      </c>
      <c r="B10" s="5"/>
      <c r="C10" s="5"/>
      <c r="D10" s="5"/>
      <c r="E10" s="5"/>
      <c r="F10" s="5"/>
      <c r="G10" s="5"/>
      <c r="H10" s="5"/>
      <c r="I10" s="5"/>
    </row>
    <row r="11" customFormat="false" ht="15.75" hidden="false" customHeight="false" outlineLevel="0" collapsed="false">
      <c r="A11" s="6" t="s">
        <v>4</v>
      </c>
      <c r="B11" s="6"/>
      <c r="C11" s="6"/>
      <c r="D11" s="6"/>
      <c r="E11" s="6"/>
      <c r="F11" s="6"/>
      <c r="G11" s="6"/>
      <c r="H11" s="6"/>
      <c r="I11" s="6"/>
    </row>
    <row r="12" customFormat="false" ht="15.75" hidden="false" customHeight="false" outlineLevel="0" collapsed="false">
      <c r="A12" s="7" t="s">
        <v>5</v>
      </c>
      <c r="B12" s="7"/>
      <c r="C12" s="7"/>
      <c r="D12" s="7"/>
      <c r="E12" s="7"/>
      <c r="F12" s="7"/>
      <c r="G12" s="7"/>
      <c r="H12" s="7"/>
      <c r="I12" s="7"/>
    </row>
    <row r="13" customFormat="false" ht="15.75" hidden="false" customHeight="false" outlineLevel="0" collapsed="false">
      <c r="A13" s="8" t="s">
        <v>6</v>
      </c>
      <c r="B13" s="8"/>
      <c r="C13" s="8"/>
      <c r="D13" s="8"/>
      <c r="E13" s="8"/>
      <c r="F13" s="8"/>
      <c r="G13" s="8"/>
      <c r="H13" s="8"/>
      <c r="I13" s="8"/>
    </row>
    <row r="14" customFormat="false" ht="15.75" hidden="false" customHeight="false" outlineLevel="0" collapsed="false">
      <c r="A14" s="179" t="s">
        <v>7</v>
      </c>
      <c r="B14" s="179"/>
      <c r="C14" s="179"/>
      <c r="D14" s="179"/>
      <c r="E14" s="179"/>
      <c r="F14" s="179"/>
      <c r="G14" s="179"/>
      <c r="H14" s="179"/>
      <c r="I14" s="179"/>
    </row>
    <row r="15" customFormat="false" ht="15.75" hidden="false" customHeight="false" outlineLevel="0" collapsed="false">
      <c r="A15" s="10" t="s">
        <v>8</v>
      </c>
      <c r="B15" s="11" t="s">
        <v>9</v>
      </c>
      <c r="C15" s="11"/>
      <c r="D15" s="11"/>
      <c r="E15" s="11"/>
      <c r="F15" s="11"/>
      <c r="G15" s="11"/>
      <c r="H15" s="11"/>
      <c r="I15" s="264"/>
    </row>
    <row r="16" customFormat="false" ht="15.75" hidden="false" customHeight="false" outlineLevel="0" collapsed="false">
      <c r="A16" s="14" t="s">
        <v>10</v>
      </c>
      <c r="B16" s="15" t="s">
        <v>11</v>
      </c>
      <c r="C16" s="15"/>
      <c r="D16" s="15"/>
      <c r="E16" s="15"/>
      <c r="F16" s="15"/>
      <c r="G16" s="15"/>
      <c r="H16" s="15"/>
      <c r="I16" s="265" t="s">
        <v>242</v>
      </c>
    </row>
    <row r="17" customFormat="false" ht="47.25" hidden="false" customHeight="true" outlineLevel="0" collapsed="false">
      <c r="A17" s="17" t="s">
        <v>12</v>
      </c>
      <c r="B17" s="18" t="s">
        <v>13</v>
      </c>
      <c r="C17" s="18"/>
      <c r="D17" s="18"/>
      <c r="E17" s="18"/>
      <c r="F17" s="18"/>
      <c r="G17" s="18"/>
      <c r="H17" s="18"/>
      <c r="I17" s="266" t="s">
        <v>186</v>
      </c>
    </row>
    <row r="18" customFormat="false" ht="15.75" hidden="false" customHeight="false" outlineLevel="0" collapsed="false">
      <c r="A18" s="20" t="s">
        <v>14</v>
      </c>
      <c r="B18" s="21" t="s">
        <v>15</v>
      </c>
      <c r="C18" s="21"/>
      <c r="D18" s="21"/>
      <c r="E18" s="21"/>
      <c r="F18" s="21"/>
      <c r="G18" s="21"/>
      <c r="H18" s="21"/>
      <c r="I18" s="267" t="n">
        <v>12</v>
      </c>
    </row>
    <row r="19" customFormat="false" ht="15.75" hidden="false" customHeight="false" outlineLevel="0" collapsed="false">
      <c r="A19" s="179" t="s">
        <v>16</v>
      </c>
      <c r="B19" s="179"/>
      <c r="C19" s="179"/>
      <c r="D19" s="179"/>
      <c r="E19" s="179"/>
      <c r="F19" s="179"/>
      <c r="G19" s="179"/>
      <c r="H19" s="179"/>
      <c r="I19" s="179"/>
    </row>
    <row r="20" customFormat="false" ht="15.75" hidden="false" customHeight="false" outlineLevel="0" collapsed="false">
      <c r="A20" s="23" t="s">
        <v>17</v>
      </c>
      <c r="B20" s="23"/>
      <c r="C20" s="23"/>
      <c r="D20" s="23"/>
      <c r="E20" s="24" t="s">
        <v>18</v>
      </c>
      <c r="F20" s="24"/>
      <c r="G20" s="25" t="s">
        <v>19</v>
      </c>
      <c r="H20" s="25"/>
      <c r="I20" s="25"/>
    </row>
    <row r="21" customFormat="false" ht="15.75" hidden="false" customHeight="true" outlineLevel="0" collapsed="false">
      <c r="A21" s="26" t="s">
        <v>20</v>
      </c>
      <c r="B21" s="26"/>
      <c r="C21" s="26"/>
      <c r="D21" s="26"/>
      <c r="E21" s="27" t="s">
        <v>21</v>
      </c>
      <c r="F21" s="27"/>
      <c r="G21" s="28" t="n">
        <v>2</v>
      </c>
      <c r="H21" s="28"/>
      <c r="I21" s="28"/>
    </row>
    <row r="22" customFormat="false" ht="16.5" hidden="false" customHeight="true" outlineLevel="0" collapsed="false">
      <c r="A22" s="334" t="s">
        <v>246</v>
      </c>
      <c r="B22" s="334"/>
      <c r="C22" s="334"/>
      <c r="D22" s="334"/>
      <c r="E22" s="27"/>
      <c r="F22" s="27"/>
      <c r="G22" s="28"/>
      <c r="H22" s="28"/>
      <c r="I22" s="28"/>
      <c r="L22" s="30"/>
    </row>
    <row r="23" customFormat="false" ht="15.75" hidden="false" customHeight="false" outlineLevel="0" collapsed="false">
      <c r="A23" s="31"/>
      <c r="B23" s="269"/>
      <c r="C23" s="269"/>
      <c r="D23" s="269"/>
      <c r="E23" s="269"/>
      <c r="F23" s="269"/>
      <c r="G23" s="269"/>
      <c r="H23" s="269"/>
      <c r="I23" s="269"/>
    </row>
    <row r="24" customFormat="false" ht="15.75" hidden="false" customHeight="false" outlineLevel="0" collapsed="false">
      <c r="A24" s="33" t="s">
        <v>22</v>
      </c>
      <c r="B24" s="33"/>
      <c r="C24" s="33"/>
      <c r="D24" s="33"/>
      <c r="E24" s="33"/>
      <c r="F24" s="33"/>
      <c r="G24" s="33"/>
      <c r="H24" s="33"/>
      <c r="I24" s="33"/>
    </row>
    <row r="25" customFormat="false" ht="15.75" hidden="false" customHeight="false" outlineLevel="0" collapsed="false">
      <c r="A25" s="34" t="s">
        <v>23</v>
      </c>
      <c r="B25" s="34"/>
      <c r="C25" s="34"/>
      <c r="D25" s="34"/>
      <c r="E25" s="34"/>
      <c r="F25" s="34"/>
      <c r="G25" s="34"/>
      <c r="H25" s="34"/>
      <c r="I25" s="34"/>
    </row>
    <row r="26" customFormat="false" ht="15.75" hidden="false" customHeight="false" outlineLevel="0" collapsed="false">
      <c r="A26" s="35" t="s">
        <v>24</v>
      </c>
      <c r="B26" s="35"/>
      <c r="C26" s="35"/>
      <c r="D26" s="35"/>
      <c r="E26" s="35"/>
      <c r="F26" s="35"/>
      <c r="G26" s="35"/>
      <c r="H26" s="35"/>
      <c r="I26" s="35"/>
    </row>
    <row r="27" customFormat="false" ht="15.75" hidden="false" customHeight="true" outlineLevel="0" collapsed="false">
      <c r="A27" s="14" t="n">
        <v>1</v>
      </c>
      <c r="B27" s="36" t="s">
        <v>25</v>
      </c>
      <c r="C27" s="36"/>
      <c r="D27" s="36"/>
      <c r="E27" s="36"/>
      <c r="F27" s="36"/>
      <c r="G27" s="36"/>
      <c r="H27" s="36"/>
      <c r="I27" s="266" t="s">
        <v>26</v>
      </c>
    </row>
    <row r="28" customFormat="false" ht="15.75" hidden="false" customHeight="true" outlineLevel="0" collapsed="false">
      <c r="A28" s="14" t="n">
        <v>2</v>
      </c>
      <c r="B28" s="38" t="s">
        <v>27</v>
      </c>
      <c r="C28" s="38"/>
      <c r="D28" s="38"/>
      <c r="E28" s="38"/>
      <c r="F28" s="38"/>
      <c r="G28" s="38"/>
      <c r="H28" s="38"/>
      <c r="I28" s="265" t="n">
        <f aca="false">Dados!B2</f>
        <v>1305.17</v>
      </c>
    </row>
    <row r="29" customFormat="false" ht="15.75" hidden="false" customHeight="true" outlineLevel="0" collapsed="false">
      <c r="A29" s="14" t="n">
        <v>3</v>
      </c>
      <c r="B29" s="38" t="s">
        <v>28</v>
      </c>
      <c r="C29" s="38"/>
      <c r="D29" s="38"/>
      <c r="E29" s="38"/>
      <c r="F29" s="38"/>
      <c r="G29" s="38"/>
      <c r="H29" s="38"/>
      <c r="I29" s="265" t="s">
        <v>188</v>
      </c>
    </row>
    <row r="30" customFormat="false" ht="15.75" hidden="false" customHeight="true" outlineLevel="0" collapsed="false">
      <c r="A30" s="40" t="n">
        <v>4</v>
      </c>
      <c r="B30" s="41" t="s">
        <v>29</v>
      </c>
      <c r="C30" s="41"/>
      <c r="D30" s="41"/>
      <c r="E30" s="41"/>
      <c r="F30" s="41"/>
      <c r="G30" s="41"/>
      <c r="H30" s="41"/>
      <c r="I30" s="270" t="n">
        <v>42005</v>
      </c>
    </row>
    <row r="31" customFormat="false" ht="15.75" hidden="false" customHeight="true" outlineLevel="0" collapsed="false">
      <c r="A31" s="40" t="n">
        <v>5</v>
      </c>
      <c r="B31" s="38" t="s">
        <v>30</v>
      </c>
      <c r="C31" s="38"/>
      <c r="D31" s="38"/>
      <c r="E31" s="38"/>
      <c r="F31" s="38"/>
      <c r="G31" s="38"/>
      <c r="H31" s="38"/>
      <c r="I31" s="270" t="n">
        <f aca="false">I28/220</f>
        <v>5.93259090909091</v>
      </c>
    </row>
    <row r="32" customFormat="false" ht="15.75" hidden="false" customHeight="true" outlineLevel="0" collapsed="false">
      <c r="A32" s="40" t="n">
        <v>6</v>
      </c>
      <c r="B32" s="38" t="s">
        <v>31</v>
      </c>
      <c r="C32" s="38"/>
      <c r="D32" s="38"/>
      <c r="E32" s="38"/>
      <c r="F32" s="38"/>
      <c r="G32" s="38"/>
      <c r="H32" s="38"/>
      <c r="I32" s="270" t="n">
        <f aca="false">I31*1.5</f>
        <v>8.89888636363636</v>
      </c>
    </row>
    <row r="33" customFormat="false" ht="16.5" hidden="false" customHeight="true" outlineLevel="0" collapsed="false">
      <c r="A33" s="20" t="n">
        <v>7</v>
      </c>
      <c r="B33" s="44" t="s">
        <v>32</v>
      </c>
      <c r="C33" s="44"/>
      <c r="D33" s="44"/>
      <c r="E33" s="44"/>
      <c r="F33" s="44"/>
      <c r="G33" s="44"/>
      <c r="H33" s="44"/>
      <c r="I33" s="335" t="n">
        <f aca="false">I31*0.2</f>
        <v>1.18651818181818</v>
      </c>
    </row>
    <row r="34" customFormat="false" ht="15.75" hidden="false" customHeight="false" outlineLevel="0" collapsed="false">
      <c r="A34" s="271"/>
      <c r="B34" s="271"/>
      <c r="C34" s="271"/>
      <c r="D34" s="271"/>
      <c r="E34" s="271"/>
      <c r="F34" s="271"/>
      <c r="G34" s="271"/>
      <c r="H34" s="271"/>
      <c r="I34" s="271"/>
    </row>
    <row r="35" customFormat="false" ht="15.75" hidden="false" customHeight="false" outlineLevel="0" collapsed="false">
      <c r="A35" s="47" t="s">
        <v>33</v>
      </c>
      <c r="B35" s="47"/>
      <c r="C35" s="47"/>
      <c r="D35" s="47"/>
      <c r="E35" s="47"/>
      <c r="F35" s="47"/>
      <c r="G35" s="47"/>
      <c r="H35" s="47"/>
      <c r="I35" s="47"/>
    </row>
    <row r="36" customFormat="false" ht="15.75" hidden="false" customHeight="false" outlineLevel="0" collapsed="false">
      <c r="A36" s="48" t="n">
        <v>1</v>
      </c>
      <c r="B36" s="49" t="s">
        <v>34</v>
      </c>
      <c r="C36" s="49"/>
      <c r="D36" s="49"/>
      <c r="E36" s="49"/>
      <c r="F36" s="49"/>
      <c r="G36" s="49"/>
      <c r="H36" s="49"/>
      <c r="I36" s="272" t="s">
        <v>35</v>
      </c>
      <c r="L36" s="51"/>
    </row>
    <row r="37" customFormat="false" ht="15.75" hidden="false" customHeight="false" outlineLevel="0" collapsed="false">
      <c r="A37" s="17" t="s">
        <v>8</v>
      </c>
      <c r="B37" s="52" t="s">
        <v>189</v>
      </c>
      <c r="C37" s="52"/>
      <c r="D37" s="52"/>
      <c r="E37" s="52"/>
      <c r="F37" s="52"/>
      <c r="G37" s="52"/>
      <c r="H37" s="52"/>
      <c r="I37" s="273" t="n">
        <f aca="false">ROUND(I31*150*2,2)</f>
        <v>1779.78</v>
      </c>
      <c r="L37" s="51"/>
    </row>
    <row r="38" customFormat="false" ht="15.75" hidden="false" customHeight="false" outlineLevel="0" collapsed="false">
      <c r="A38" s="17" t="s">
        <v>10</v>
      </c>
      <c r="B38" s="74" t="s">
        <v>190</v>
      </c>
      <c r="C38" s="74"/>
      <c r="D38" s="74"/>
      <c r="E38" s="74"/>
      <c r="F38" s="74"/>
      <c r="G38" s="74"/>
      <c r="H38" s="74"/>
      <c r="I38" s="273" t="n">
        <f aca="false">ROUND(I32*21*2*(15/60),2)</f>
        <v>93.44</v>
      </c>
      <c r="L38" s="55"/>
    </row>
    <row r="39" customFormat="false" ht="18.75" hidden="false" customHeight="true" outlineLevel="0" collapsed="false">
      <c r="A39" s="17" t="s">
        <v>12</v>
      </c>
      <c r="B39" s="58" t="s">
        <v>43</v>
      </c>
      <c r="C39" s="58"/>
      <c r="D39" s="58"/>
      <c r="E39" s="58"/>
      <c r="F39" s="58"/>
      <c r="G39" s="58"/>
      <c r="H39" s="58"/>
      <c r="I39" s="336" t="n">
        <f aca="false">SUM(I38:I38)*0.2</f>
        <v>18.688</v>
      </c>
      <c r="K39" s="59"/>
    </row>
    <row r="40" customFormat="false" ht="15.75" hidden="false" customHeight="false" outlineLevel="0" collapsed="false">
      <c r="A40" s="60" t="s">
        <v>44</v>
      </c>
      <c r="B40" s="60"/>
      <c r="C40" s="60"/>
      <c r="D40" s="60"/>
      <c r="E40" s="60"/>
      <c r="F40" s="60"/>
      <c r="G40" s="60"/>
      <c r="H40" s="60"/>
      <c r="I40" s="275" t="n">
        <f aca="false">SUM(I37:I39)</f>
        <v>1891.908</v>
      </c>
    </row>
    <row r="41" customFormat="false" ht="15.75" hidden="false" customHeight="false" outlineLevel="0" collapsed="false">
      <c r="A41" s="47" t="s">
        <v>45</v>
      </c>
      <c r="B41" s="47"/>
      <c r="C41" s="47"/>
      <c r="D41" s="47"/>
      <c r="E41" s="47"/>
      <c r="F41" s="47"/>
      <c r="G41" s="47"/>
      <c r="H41" s="47"/>
      <c r="I41" s="47"/>
    </row>
    <row r="42" customFormat="false" ht="15.75" hidden="false" customHeight="false" outlineLevel="0" collapsed="false">
      <c r="A42" s="62" t="n">
        <v>2</v>
      </c>
      <c r="B42" s="63" t="s">
        <v>46</v>
      </c>
      <c r="C42" s="63"/>
      <c r="D42" s="63"/>
      <c r="E42" s="63"/>
      <c r="F42" s="63"/>
      <c r="G42" s="63"/>
      <c r="H42" s="63"/>
      <c r="I42" s="272" t="s">
        <v>35</v>
      </c>
    </row>
    <row r="43" customFormat="false" ht="15.75" hidden="false" customHeight="true" outlineLevel="0" collapsed="false">
      <c r="A43" s="64" t="s">
        <v>8</v>
      </c>
      <c r="B43" s="54" t="s">
        <v>206</v>
      </c>
      <c r="C43" s="54"/>
      <c r="D43" s="54"/>
      <c r="E43" s="54"/>
      <c r="F43" s="54"/>
      <c r="G43" s="54"/>
      <c r="H43" s="54"/>
      <c r="I43" s="273" t="n">
        <f aca="false">ROUND((2*H45*H44*21)-(0.06*I37),2)</f>
        <v>120.01</v>
      </c>
      <c r="L43" s="66"/>
    </row>
    <row r="44" customFormat="false" ht="33.75" hidden="false" customHeight="true" outlineLevel="0" collapsed="false">
      <c r="A44" s="64"/>
      <c r="B44" s="277" t="s">
        <v>247</v>
      </c>
      <c r="C44" s="277"/>
      <c r="D44" s="277"/>
      <c r="E44" s="277"/>
      <c r="F44" s="277"/>
      <c r="G44" s="277"/>
      <c r="H44" s="278" t="n">
        <f aca="false">Dados!B12</f>
        <v>2.7</v>
      </c>
      <c r="I44" s="279"/>
    </row>
    <row r="45" customFormat="false" ht="15.75" hidden="false" customHeight="false" outlineLevel="0" collapsed="false">
      <c r="A45" s="64"/>
      <c r="B45" s="69" t="s">
        <v>49</v>
      </c>
      <c r="C45" s="69"/>
      <c r="D45" s="69"/>
      <c r="E45" s="69"/>
      <c r="F45" s="69"/>
      <c r="G45" s="69"/>
      <c r="H45" s="70" t="n">
        <v>2</v>
      </c>
      <c r="I45" s="279"/>
    </row>
    <row r="46" customFormat="false" ht="15.75" hidden="false" customHeight="true" outlineLevel="0" collapsed="false">
      <c r="A46" s="64" t="s">
        <v>10</v>
      </c>
      <c r="B46" s="54" t="s">
        <v>50</v>
      </c>
      <c r="C46" s="54"/>
      <c r="D46" s="54"/>
      <c r="E46" s="54"/>
      <c r="F46" s="54"/>
      <c r="G46" s="54"/>
      <c r="H46" s="54"/>
      <c r="I46" s="279" t="n">
        <f aca="false">ROUND((2*21*H47)*(1-0.18),2)</f>
        <v>287.92</v>
      </c>
    </row>
    <row r="47" customFormat="false" ht="15.75" hidden="false" customHeight="false" outlineLevel="0" collapsed="false">
      <c r="A47" s="64"/>
      <c r="B47" s="69" t="s">
        <v>51</v>
      </c>
      <c r="C47" s="69"/>
      <c r="D47" s="69"/>
      <c r="E47" s="69"/>
      <c r="F47" s="69"/>
      <c r="G47" s="69"/>
      <c r="H47" s="280" t="n">
        <f aca="false">Dados!B4</f>
        <v>8.36</v>
      </c>
      <c r="I47" s="281"/>
    </row>
    <row r="48" customFormat="false" ht="28.5" hidden="false" customHeight="true" outlineLevel="0" collapsed="false">
      <c r="A48" s="17" t="s">
        <v>12</v>
      </c>
      <c r="B48" s="58" t="s">
        <v>194</v>
      </c>
      <c r="C48" s="58"/>
      <c r="D48" s="58"/>
      <c r="E48" s="58"/>
      <c r="F48" s="58"/>
      <c r="G48" s="58"/>
      <c r="H48" s="58"/>
      <c r="I48" s="279" t="n">
        <f aca="false">ROUND(Dados!B5*2,2)</f>
        <v>30.04</v>
      </c>
    </row>
    <row r="49" customFormat="false" ht="15.75" hidden="false" customHeight="false" outlineLevel="0" collapsed="false">
      <c r="A49" s="60" t="s">
        <v>53</v>
      </c>
      <c r="B49" s="60"/>
      <c r="C49" s="60"/>
      <c r="D49" s="60"/>
      <c r="E49" s="60"/>
      <c r="F49" s="60"/>
      <c r="G49" s="60"/>
      <c r="H49" s="60"/>
      <c r="I49" s="275" t="n">
        <f aca="false">SUM(I43:I48)</f>
        <v>437.97</v>
      </c>
    </row>
    <row r="50" customFormat="false" ht="15.75" hidden="false" customHeight="false" outlineLevel="0" collapsed="false">
      <c r="A50" s="73" t="s">
        <v>54</v>
      </c>
      <c r="B50" s="73"/>
      <c r="C50" s="73"/>
      <c r="D50" s="73"/>
      <c r="E50" s="73"/>
      <c r="F50" s="73"/>
      <c r="G50" s="73"/>
      <c r="H50" s="73"/>
      <c r="I50" s="73"/>
    </row>
    <row r="51" customFormat="false" ht="15.75" hidden="false" customHeight="false" outlineLevel="0" collapsed="false">
      <c r="A51" s="47" t="s">
        <v>55</v>
      </c>
      <c r="B51" s="47"/>
      <c r="C51" s="47"/>
      <c r="D51" s="47"/>
      <c r="E51" s="47"/>
      <c r="F51" s="47"/>
      <c r="G51" s="47"/>
      <c r="H51" s="47"/>
      <c r="I51" s="47"/>
    </row>
    <row r="52" customFormat="false" ht="15.75" hidden="false" customHeight="false" outlineLevel="0" collapsed="false">
      <c r="A52" s="62" t="n">
        <v>3</v>
      </c>
      <c r="B52" s="63" t="s">
        <v>56</v>
      </c>
      <c r="C52" s="63"/>
      <c r="D52" s="63"/>
      <c r="E52" s="63"/>
      <c r="F52" s="63"/>
      <c r="G52" s="63"/>
      <c r="H52" s="63"/>
      <c r="I52" s="272" t="s">
        <v>35</v>
      </c>
    </row>
    <row r="53" customFormat="false" ht="15.75" hidden="false" customHeight="false" outlineLevel="0" collapsed="false">
      <c r="A53" s="64" t="s">
        <v>8</v>
      </c>
      <c r="B53" s="74" t="s">
        <v>228</v>
      </c>
      <c r="C53" s="74"/>
      <c r="D53" s="74"/>
      <c r="E53" s="74"/>
      <c r="F53" s="74"/>
      <c r="G53" s="74"/>
      <c r="H53" s="74"/>
      <c r="I53" s="282" t="n">
        <f aca="false">Dados!D6*2</f>
        <v>137.67625</v>
      </c>
      <c r="J53" s="76"/>
      <c r="K53" s="77"/>
    </row>
    <row r="54" customFormat="false" ht="15.75" hidden="false" customHeight="false" outlineLevel="0" collapsed="false">
      <c r="A54" s="60" t="s">
        <v>58</v>
      </c>
      <c r="B54" s="60"/>
      <c r="C54" s="60"/>
      <c r="D54" s="60"/>
      <c r="E54" s="60"/>
      <c r="F54" s="60"/>
      <c r="G54" s="60"/>
      <c r="H54" s="60"/>
      <c r="I54" s="283" t="n">
        <f aca="false">SUM(I53:I53)</f>
        <v>137.67625</v>
      </c>
    </row>
    <row r="55" customFormat="false" ht="15.75" hidden="false" customHeight="false" outlineLevel="0" collapsed="false">
      <c r="A55" s="47" t="s">
        <v>59</v>
      </c>
      <c r="B55" s="47"/>
      <c r="C55" s="47"/>
      <c r="D55" s="47"/>
      <c r="E55" s="47"/>
      <c r="F55" s="47"/>
      <c r="G55" s="47"/>
      <c r="H55" s="47"/>
      <c r="I55" s="47"/>
    </row>
    <row r="56" customFormat="false" ht="15.75" hidden="false" customHeight="false" outlineLevel="0" collapsed="false">
      <c r="A56" s="79" t="s">
        <v>60</v>
      </c>
      <c r="B56" s="79"/>
      <c r="C56" s="79"/>
      <c r="D56" s="79"/>
      <c r="E56" s="79"/>
      <c r="F56" s="79"/>
      <c r="G56" s="79"/>
      <c r="H56" s="79"/>
      <c r="I56" s="79"/>
    </row>
    <row r="57" customFormat="false" ht="15.75" hidden="false" customHeight="false" outlineLevel="0" collapsed="false">
      <c r="A57" s="62" t="s">
        <v>61</v>
      </c>
      <c r="B57" s="80" t="s">
        <v>62</v>
      </c>
      <c r="C57" s="80"/>
      <c r="D57" s="80"/>
      <c r="E57" s="80"/>
      <c r="F57" s="80"/>
      <c r="G57" s="80"/>
      <c r="H57" s="81" t="s">
        <v>63</v>
      </c>
      <c r="I57" s="272" t="s">
        <v>35</v>
      </c>
    </row>
    <row r="58" customFormat="false" ht="15.75" hidden="false" customHeight="false" outlineLevel="0" collapsed="false">
      <c r="A58" s="82" t="s">
        <v>8</v>
      </c>
      <c r="B58" s="83" t="s">
        <v>64</v>
      </c>
      <c r="C58" s="83"/>
      <c r="D58" s="83"/>
      <c r="E58" s="83"/>
      <c r="F58" s="83"/>
      <c r="G58" s="83"/>
      <c r="H58" s="84" t="n">
        <v>0.2</v>
      </c>
      <c r="I58" s="273" t="n">
        <f aca="false">ROUND(($I$40-$I$38)*H58,2)</f>
        <v>359.69</v>
      </c>
      <c r="K58" s="66"/>
    </row>
    <row r="59" customFormat="false" ht="15.75" hidden="false" customHeight="false" outlineLevel="0" collapsed="false">
      <c r="A59" s="82" t="s">
        <v>10</v>
      </c>
      <c r="B59" s="83" t="s">
        <v>65</v>
      </c>
      <c r="C59" s="83"/>
      <c r="D59" s="83"/>
      <c r="E59" s="83"/>
      <c r="F59" s="83"/>
      <c r="G59" s="83"/>
      <c r="H59" s="85" t="n">
        <v>0.015</v>
      </c>
      <c r="I59" s="273" t="n">
        <f aca="false">ROUND(($I$40-$I$38)*H59,2)</f>
        <v>26.98</v>
      </c>
      <c r="K59" s="66"/>
    </row>
    <row r="60" customFormat="false" ht="15.75" hidden="false" customHeight="false" outlineLevel="0" collapsed="false">
      <c r="A60" s="82" t="s">
        <v>12</v>
      </c>
      <c r="B60" s="83" t="s">
        <v>66</v>
      </c>
      <c r="C60" s="83"/>
      <c r="D60" s="83"/>
      <c r="E60" s="83"/>
      <c r="F60" s="83"/>
      <c r="G60" s="83"/>
      <c r="H60" s="84" t="n">
        <v>0.01</v>
      </c>
      <c r="I60" s="273" t="n">
        <f aca="false">ROUND(($I$40-$I$38)*H60,2)</f>
        <v>17.98</v>
      </c>
      <c r="K60" s="66"/>
    </row>
    <row r="61" customFormat="false" ht="15.75" hidden="false" customHeight="false" outlineLevel="0" collapsed="false">
      <c r="A61" s="82" t="s">
        <v>14</v>
      </c>
      <c r="B61" s="83" t="s">
        <v>67</v>
      </c>
      <c r="C61" s="83"/>
      <c r="D61" s="83"/>
      <c r="E61" s="83"/>
      <c r="F61" s="83"/>
      <c r="G61" s="83"/>
      <c r="H61" s="86" t="n">
        <v>0.002</v>
      </c>
      <c r="I61" s="273" t="n">
        <f aca="false">ROUND(($I$40-$I$38)*H61,2)</f>
        <v>3.6</v>
      </c>
      <c r="K61" s="66"/>
    </row>
    <row r="62" customFormat="false" ht="15.75" hidden="false" customHeight="false" outlineLevel="0" collapsed="false">
      <c r="A62" s="82" t="s">
        <v>40</v>
      </c>
      <c r="B62" s="83" t="s">
        <v>68</v>
      </c>
      <c r="C62" s="83"/>
      <c r="D62" s="83"/>
      <c r="E62" s="83"/>
      <c r="F62" s="83"/>
      <c r="G62" s="83"/>
      <c r="H62" s="86" t="n">
        <v>0.025</v>
      </c>
      <c r="I62" s="273" t="n">
        <f aca="false">ROUND(($I$40-$I$38)*H62,2)</f>
        <v>44.96</v>
      </c>
      <c r="K62" s="66"/>
    </row>
    <row r="63" customFormat="false" ht="15.75" hidden="false" customHeight="false" outlineLevel="0" collapsed="false">
      <c r="A63" s="82" t="s">
        <v>42</v>
      </c>
      <c r="B63" s="83" t="s">
        <v>69</v>
      </c>
      <c r="C63" s="83"/>
      <c r="D63" s="83"/>
      <c r="E63" s="83"/>
      <c r="F63" s="83"/>
      <c r="G63" s="83"/>
      <c r="H63" s="84" t="n">
        <v>0.08</v>
      </c>
      <c r="I63" s="273" t="n">
        <f aca="false">ROUND(($I$40-$I$38)*H63,2)</f>
        <v>143.88</v>
      </c>
      <c r="K63" s="66"/>
    </row>
    <row r="64" customFormat="false" ht="15.75" hidden="false" customHeight="false" outlineLevel="0" collapsed="false">
      <c r="A64" s="82" t="s">
        <v>70</v>
      </c>
      <c r="B64" s="87" t="s">
        <v>71</v>
      </c>
      <c r="C64" s="87"/>
      <c r="D64" s="87"/>
      <c r="E64" s="87"/>
      <c r="F64" s="88" t="s">
        <v>72</v>
      </c>
      <c r="G64" s="89" t="s">
        <v>196</v>
      </c>
      <c r="H64" s="86" t="n">
        <v>0.015</v>
      </c>
      <c r="I64" s="273" t="n">
        <f aca="false">ROUND(($I$40-$I$38)*H64,2)</f>
        <v>26.98</v>
      </c>
      <c r="K64" s="66"/>
    </row>
    <row r="65" customFormat="false" ht="15.75" hidden="false" customHeight="false" outlineLevel="0" collapsed="false">
      <c r="A65" s="82" t="s">
        <v>74</v>
      </c>
      <c r="B65" s="83" t="s">
        <v>75</v>
      </c>
      <c r="C65" s="83"/>
      <c r="D65" s="83"/>
      <c r="E65" s="83"/>
      <c r="F65" s="83"/>
      <c r="G65" s="83"/>
      <c r="H65" s="86" t="n">
        <v>0.006</v>
      </c>
      <c r="I65" s="273" t="n">
        <f aca="false">ROUND(($I$40-$I$38)*H65,2)</f>
        <v>10.79</v>
      </c>
      <c r="K65" s="66"/>
    </row>
    <row r="66" customFormat="false" ht="15.75" hidden="false" customHeight="false" outlineLevel="0" collapsed="false">
      <c r="A66" s="90" t="s">
        <v>76</v>
      </c>
      <c r="B66" s="90"/>
      <c r="C66" s="90"/>
      <c r="D66" s="90"/>
      <c r="E66" s="90"/>
      <c r="F66" s="90"/>
      <c r="G66" s="90"/>
      <c r="H66" s="91" t="n">
        <f aca="false">SUM(H58:H65)</f>
        <v>0.353</v>
      </c>
      <c r="I66" s="284" t="n">
        <f aca="false">SUM(I58:I65)</f>
        <v>634.86</v>
      </c>
      <c r="K66" s="66"/>
    </row>
    <row r="67" customFormat="false" ht="15.75" hidden="false" customHeight="false" outlineLevel="0" collapsed="false">
      <c r="A67" s="93" t="s">
        <v>229</v>
      </c>
      <c r="B67" s="93"/>
      <c r="C67" s="93"/>
      <c r="D67" s="93"/>
      <c r="E67" s="93"/>
      <c r="F67" s="93"/>
      <c r="G67" s="93"/>
      <c r="H67" s="93"/>
      <c r="I67" s="93"/>
    </row>
    <row r="68" customFormat="false" ht="15.75" hidden="false" customHeight="false" outlineLevel="0" collapsed="false">
      <c r="A68" s="94" t="s">
        <v>78</v>
      </c>
      <c r="B68" s="94"/>
      <c r="C68" s="94"/>
      <c r="D68" s="94"/>
      <c r="E68" s="94"/>
      <c r="F68" s="94"/>
      <c r="G68" s="94"/>
      <c r="H68" s="94"/>
      <c r="I68" s="94"/>
    </row>
    <row r="69" customFormat="false" ht="15.75" hidden="false" customHeight="false" outlineLevel="0" collapsed="false">
      <c r="A69" s="79" t="s">
        <v>79</v>
      </c>
      <c r="B69" s="79"/>
      <c r="C69" s="79"/>
      <c r="D69" s="79"/>
      <c r="E69" s="79"/>
      <c r="F69" s="79"/>
      <c r="G69" s="79"/>
      <c r="H69" s="79"/>
      <c r="I69" s="79"/>
    </row>
    <row r="70" customFormat="false" ht="15.75" hidden="false" customHeight="false" outlineLevel="0" collapsed="false">
      <c r="A70" s="62" t="s">
        <v>80</v>
      </c>
      <c r="B70" s="81" t="s">
        <v>81</v>
      </c>
      <c r="C70" s="81"/>
      <c r="D70" s="81"/>
      <c r="E70" s="81"/>
      <c r="F70" s="81"/>
      <c r="G70" s="81"/>
      <c r="H70" s="81"/>
      <c r="I70" s="272" t="s">
        <v>35</v>
      </c>
    </row>
    <row r="71" customFormat="false" ht="35.25" hidden="false" customHeight="true" outlineLevel="0" collapsed="false">
      <c r="A71" s="17" t="s">
        <v>8</v>
      </c>
      <c r="B71" s="95" t="s">
        <v>82</v>
      </c>
      <c r="C71" s="95"/>
      <c r="D71" s="95"/>
      <c r="E71" s="95"/>
      <c r="F71" s="95"/>
      <c r="G71" s="95"/>
      <c r="H71" s="95"/>
      <c r="I71" s="285" t="n">
        <f aca="false">ROUND(I40/12,2)</f>
        <v>157.66</v>
      </c>
      <c r="K71" s="66"/>
    </row>
    <row r="72" customFormat="false" ht="15.75" hidden="false" customHeight="false" outlineLevel="0" collapsed="false">
      <c r="A72" s="97" t="s">
        <v>83</v>
      </c>
      <c r="B72" s="97"/>
      <c r="C72" s="97"/>
      <c r="D72" s="97"/>
      <c r="E72" s="97"/>
      <c r="F72" s="97"/>
      <c r="G72" s="97"/>
      <c r="H72" s="97"/>
      <c r="I72" s="273" t="n">
        <f aca="false">SUM(I71:I71)</f>
        <v>157.66</v>
      </c>
      <c r="K72" s="66"/>
    </row>
    <row r="73" customFormat="false" ht="15.75" hidden="false" customHeight="false" outlineLevel="0" collapsed="false">
      <c r="A73" s="17" t="s">
        <v>10</v>
      </c>
      <c r="B73" s="83" t="s">
        <v>84</v>
      </c>
      <c r="C73" s="83"/>
      <c r="D73" s="83"/>
      <c r="E73" s="83"/>
      <c r="F73" s="83"/>
      <c r="G73" s="83"/>
      <c r="H73" s="83"/>
      <c r="I73" s="273" t="n">
        <f aca="false">ROUND(I72*H66,2)</f>
        <v>55.65</v>
      </c>
      <c r="K73" s="66"/>
    </row>
    <row r="74" customFormat="false" ht="15.75" hidden="false" customHeight="false" outlineLevel="0" collapsed="false">
      <c r="A74" s="60" t="s">
        <v>76</v>
      </c>
      <c r="B74" s="60"/>
      <c r="C74" s="60"/>
      <c r="D74" s="60"/>
      <c r="E74" s="60"/>
      <c r="F74" s="60"/>
      <c r="G74" s="60"/>
      <c r="H74" s="60"/>
      <c r="I74" s="275" t="n">
        <f aca="false">SUM(I72:I73)</f>
        <v>213.31</v>
      </c>
      <c r="K74" s="66"/>
    </row>
    <row r="75" customFormat="false" ht="15.75" hidden="false" customHeight="false" outlineLevel="0" collapsed="false">
      <c r="A75" s="79" t="s">
        <v>85</v>
      </c>
      <c r="B75" s="79"/>
      <c r="C75" s="79"/>
      <c r="D75" s="79"/>
      <c r="E75" s="79"/>
      <c r="F75" s="79"/>
      <c r="G75" s="79"/>
      <c r="H75" s="79"/>
      <c r="I75" s="79"/>
    </row>
    <row r="76" customFormat="false" ht="15.75" hidden="false" customHeight="false" outlineLevel="0" collapsed="false">
      <c r="A76" s="62" t="s">
        <v>86</v>
      </c>
      <c r="B76" s="81" t="s">
        <v>87</v>
      </c>
      <c r="C76" s="81"/>
      <c r="D76" s="81"/>
      <c r="E76" s="81"/>
      <c r="F76" s="81"/>
      <c r="G76" s="81"/>
      <c r="H76" s="81"/>
      <c r="I76" s="272" t="s">
        <v>35</v>
      </c>
    </row>
    <row r="77" customFormat="false" ht="15.75" hidden="false" customHeight="false" outlineLevel="0" collapsed="false">
      <c r="A77" s="17" t="s">
        <v>8</v>
      </c>
      <c r="B77" s="52" t="s">
        <v>88</v>
      </c>
      <c r="C77" s="52"/>
      <c r="D77" s="52"/>
      <c r="E77" s="52"/>
      <c r="F77" s="52"/>
      <c r="G77" s="52"/>
      <c r="H77" s="52"/>
      <c r="I77" s="282" t="n">
        <f aca="false">ROUND((((I40+I40/3)*(4/12))/12)*0.02,2)</f>
        <v>1.4</v>
      </c>
    </row>
    <row r="78" customFormat="false" ht="15.75" hidden="false" customHeight="false" outlineLevel="0" collapsed="false">
      <c r="A78" s="17" t="s">
        <v>10</v>
      </c>
      <c r="B78" s="83" t="s">
        <v>89</v>
      </c>
      <c r="C78" s="83"/>
      <c r="D78" s="83"/>
      <c r="E78" s="83"/>
      <c r="F78" s="83"/>
      <c r="G78" s="83"/>
      <c r="H78" s="83"/>
      <c r="I78" s="282" t="n">
        <f aca="false">I77*H66</f>
        <v>0.4942</v>
      </c>
    </row>
    <row r="79" customFormat="false" ht="15.75" hidden="false" customHeight="false" outlineLevel="0" collapsed="false">
      <c r="A79" s="60" t="s">
        <v>76</v>
      </c>
      <c r="B79" s="60"/>
      <c r="C79" s="60"/>
      <c r="D79" s="60"/>
      <c r="E79" s="60"/>
      <c r="F79" s="60"/>
      <c r="G79" s="60"/>
      <c r="H79" s="60"/>
      <c r="I79" s="275" t="n">
        <f aca="false">SUM(I77:I78)</f>
        <v>1.8942</v>
      </c>
    </row>
    <row r="80" customFormat="false" ht="15.75" hidden="false" customHeight="false" outlineLevel="0" collapsed="false">
      <c r="A80" s="79" t="s">
        <v>90</v>
      </c>
      <c r="B80" s="79"/>
      <c r="C80" s="79"/>
      <c r="D80" s="79"/>
      <c r="E80" s="79"/>
      <c r="F80" s="79"/>
      <c r="G80" s="79"/>
      <c r="H80" s="79"/>
      <c r="I80" s="79"/>
    </row>
    <row r="81" customFormat="false" ht="15.75" hidden="false" customHeight="false" outlineLevel="0" collapsed="false">
      <c r="A81" s="62" t="s">
        <v>91</v>
      </c>
      <c r="B81" s="81" t="s">
        <v>92</v>
      </c>
      <c r="C81" s="81"/>
      <c r="D81" s="81"/>
      <c r="E81" s="81"/>
      <c r="F81" s="81"/>
      <c r="G81" s="81"/>
      <c r="H81" s="81"/>
      <c r="I81" s="272" t="s">
        <v>35</v>
      </c>
    </row>
    <row r="82" customFormat="false" ht="15.75" hidden="false" customHeight="true" outlineLevel="0" collapsed="false">
      <c r="A82" s="17" t="s">
        <v>8</v>
      </c>
      <c r="B82" s="99" t="s">
        <v>93</v>
      </c>
      <c r="C82" s="99"/>
      <c r="D82" s="99"/>
      <c r="E82" s="99"/>
      <c r="F82" s="99"/>
      <c r="G82" s="99"/>
      <c r="H82" s="99"/>
      <c r="I82" s="273" t="n">
        <f aca="false">ROUND((I40/12)*(30/30)*0.05,2)</f>
        <v>7.88</v>
      </c>
    </row>
    <row r="83" customFormat="false" ht="15.75" hidden="false" customHeight="true" outlineLevel="0" collapsed="false">
      <c r="A83" s="17" t="s">
        <v>10</v>
      </c>
      <c r="B83" s="83" t="s">
        <v>94</v>
      </c>
      <c r="C83" s="83"/>
      <c r="D83" s="83"/>
      <c r="E83" s="83"/>
      <c r="F83" s="83"/>
      <c r="G83" s="83"/>
      <c r="H83" s="83"/>
      <c r="I83" s="273" t="n">
        <f aca="false">ROUND(I82*H63,2)</f>
        <v>0.63</v>
      </c>
    </row>
    <row r="84" customFormat="false" ht="49.5" hidden="false" customHeight="true" outlineLevel="0" collapsed="false">
      <c r="A84" s="17" t="s">
        <v>12</v>
      </c>
      <c r="B84" s="95" t="s">
        <v>95</v>
      </c>
      <c r="C84" s="95"/>
      <c r="D84" s="95"/>
      <c r="E84" s="95"/>
      <c r="F84" s="95"/>
      <c r="G84" s="95"/>
      <c r="H84" s="95"/>
      <c r="I84" s="285" t="n">
        <f aca="false">ROUND(0.0024*I40,2)</f>
        <v>4.54</v>
      </c>
      <c r="K84" s="66"/>
    </row>
    <row r="85" customFormat="false" ht="30.75" hidden="false" customHeight="true" outlineLevel="0" collapsed="false">
      <c r="A85" s="100" t="s">
        <v>14</v>
      </c>
      <c r="B85" s="99" t="s">
        <v>96</v>
      </c>
      <c r="C85" s="99"/>
      <c r="D85" s="99"/>
      <c r="E85" s="99"/>
      <c r="F85" s="99"/>
      <c r="G85" s="99"/>
      <c r="H85" s="99"/>
      <c r="I85" s="273" t="n">
        <v>0</v>
      </c>
      <c r="N85" s="101"/>
    </row>
    <row r="86" customFormat="false" ht="18" hidden="false" customHeight="true" outlineLevel="0" collapsed="false">
      <c r="A86" s="17" t="s">
        <v>40</v>
      </c>
      <c r="B86" s="83" t="s">
        <v>97</v>
      </c>
      <c r="C86" s="83"/>
      <c r="D86" s="83"/>
      <c r="E86" s="83"/>
      <c r="F86" s="83"/>
      <c r="G86" s="83"/>
      <c r="H86" s="83"/>
      <c r="I86" s="273" t="n">
        <f aca="false">ROUND(I85*H66,2)</f>
        <v>0</v>
      </c>
      <c r="J86" s="13"/>
      <c r="K86" s="13"/>
      <c r="L86" s="102"/>
    </row>
    <row r="87" customFormat="false" ht="48.75" hidden="false" customHeight="true" outlineLevel="0" collapsed="false">
      <c r="A87" s="17" t="s">
        <v>42</v>
      </c>
      <c r="B87" s="95" t="s">
        <v>98</v>
      </c>
      <c r="C87" s="95"/>
      <c r="D87" s="95"/>
      <c r="E87" s="95"/>
      <c r="F87" s="95"/>
      <c r="G87" s="95"/>
      <c r="H87" s="95"/>
      <c r="I87" s="285" t="n">
        <f aca="false">ROUND(0.0476*I40,2)</f>
        <v>90.05</v>
      </c>
      <c r="J87" s="13"/>
      <c r="K87" s="66"/>
      <c r="L87" s="13"/>
    </row>
    <row r="88" customFormat="false" ht="20.25" hidden="false" customHeight="true" outlineLevel="0" collapsed="false">
      <c r="A88" s="60" t="s">
        <v>76</v>
      </c>
      <c r="B88" s="60"/>
      <c r="C88" s="60"/>
      <c r="D88" s="60"/>
      <c r="E88" s="60"/>
      <c r="F88" s="60"/>
      <c r="G88" s="60"/>
      <c r="H88" s="60"/>
      <c r="I88" s="275" t="n">
        <f aca="false">SUM(I82:I87)</f>
        <v>103.1</v>
      </c>
    </row>
    <row r="89" customFormat="false" ht="20.25" hidden="false" customHeight="true" outlineLevel="0" collapsed="false">
      <c r="A89" s="79" t="s">
        <v>99</v>
      </c>
      <c r="B89" s="79"/>
      <c r="C89" s="79"/>
      <c r="D89" s="79"/>
      <c r="E89" s="79"/>
      <c r="F89" s="79"/>
      <c r="G89" s="79"/>
      <c r="H89" s="79"/>
      <c r="I89" s="79"/>
    </row>
    <row r="90" customFormat="false" ht="15.75" hidden="false" customHeight="false" outlineLevel="0" collapsed="false">
      <c r="A90" s="62" t="s">
        <v>100</v>
      </c>
      <c r="B90" s="81" t="s">
        <v>101</v>
      </c>
      <c r="C90" s="81"/>
      <c r="D90" s="81"/>
      <c r="E90" s="81"/>
      <c r="F90" s="81"/>
      <c r="G90" s="81"/>
      <c r="H90" s="81"/>
      <c r="I90" s="272" t="s">
        <v>35</v>
      </c>
    </row>
    <row r="91" customFormat="false" ht="48.75" hidden="false" customHeight="true" outlineLevel="0" collapsed="false">
      <c r="A91" s="17" t="s">
        <v>8</v>
      </c>
      <c r="B91" s="95" t="s">
        <v>102</v>
      </c>
      <c r="C91" s="95"/>
      <c r="D91" s="95"/>
      <c r="E91" s="95"/>
      <c r="F91" s="95"/>
      <c r="G91" s="95"/>
      <c r="H91" s="95"/>
      <c r="I91" s="285" t="n">
        <f aca="false">ROUND(0.121*I40,2)</f>
        <v>228.92</v>
      </c>
      <c r="K91" s="66"/>
    </row>
    <row r="92" customFormat="false" ht="17.25" hidden="false" customHeight="true" outlineLevel="0" collapsed="false">
      <c r="A92" s="17" t="s">
        <v>10</v>
      </c>
      <c r="B92" s="52" t="s">
        <v>103</v>
      </c>
      <c r="C92" s="52"/>
      <c r="D92" s="52"/>
      <c r="E92" s="52"/>
      <c r="F92" s="52"/>
      <c r="G92" s="52"/>
      <c r="H92" s="52"/>
      <c r="I92" s="273" t="n">
        <f aca="false">ROUND(((I40/30)*5)/12,2)</f>
        <v>26.28</v>
      </c>
    </row>
    <row r="93" customFormat="false" ht="16.5" hidden="false" customHeight="true" outlineLevel="0" collapsed="false">
      <c r="A93" s="17" t="s">
        <v>12</v>
      </c>
      <c r="B93" s="52" t="s">
        <v>104</v>
      </c>
      <c r="C93" s="52"/>
      <c r="D93" s="52"/>
      <c r="E93" s="52"/>
      <c r="F93" s="52"/>
      <c r="G93" s="52"/>
      <c r="H93" s="52"/>
      <c r="I93" s="273" t="n">
        <f aca="false">ROUND((((I40/30)*5)/12)*0.015,2)</f>
        <v>0.39</v>
      </c>
    </row>
    <row r="94" customFormat="false" ht="17.25" hidden="false" customHeight="true" outlineLevel="0" collapsed="false">
      <c r="A94" s="17" t="s">
        <v>14</v>
      </c>
      <c r="B94" s="52" t="s">
        <v>105</v>
      </c>
      <c r="C94" s="52"/>
      <c r="D94" s="52"/>
      <c r="E94" s="52"/>
      <c r="F94" s="52"/>
      <c r="G94" s="52"/>
      <c r="H94" s="52"/>
      <c r="I94" s="273" t="n">
        <f aca="false">ROUND(((I40/30)*2.96)/12,2)</f>
        <v>15.56</v>
      </c>
    </row>
    <row r="95" customFormat="false" ht="16.5" hidden="false" customHeight="true" outlineLevel="0" collapsed="false">
      <c r="A95" s="17" t="s">
        <v>40</v>
      </c>
      <c r="B95" s="52" t="s">
        <v>106</v>
      </c>
      <c r="C95" s="52"/>
      <c r="D95" s="52"/>
      <c r="E95" s="52"/>
      <c r="F95" s="52"/>
      <c r="G95" s="52"/>
      <c r="H95" s="52"/>
      <c r="I95" s="273" t="n">
        <f aca="false">ROUND((((I40/30)*15)/12)*0.0078,2)</f>
        <v>0.61</v>
      </c>
    </row>
    <row r="96" customFormat="false" ht="15.75" hidden="false" customHeight="false" outlineLevel="0" collapsed="false">
      <c r="A96" s="97" t="s">
        <v>83</v>
      </c>
      <c r="B96" s="97"/>
      <c r="C96" s="97"/>
      <c r="D96" s="97"/>
      <c r="E96" s="97"/>
      <c r="F96" s="97"/>
      <c r="G96" s="97"/>
      <c r="H96" s="97"/>
      <c r="I96" s="281" t="n">
        <f aca="false">SUM(I91:I95)</f>
        <v>271.76</v>
      </c>
      <c r="K96" s="66"/>
    </row>
    <row r="97" customFormat="false" ht="18" hidden="false" customHeight="true" outlineLevel="0" collapsed="false">
      <c r="A97" s="17" t="s">
        <v>70</v>
      </c>
      <c r="B97" s="83" t="s">
        <v>107</v>
      </c>
      <c r="C97" s="83"/>
      <c r="D97" s="83"/>
      <c r="E97" s="83"/>
      <c r="F97" s="83"/>
      <c r="G97" s="83"/>
      <c r="H97" s="83"/>
      <c r="I97" s="286" t="n">
        <f aca="false">ROUND(I96*H66,2)</f>
        <v>95.93</v>
      </c>
      <c r="K97" s="66"/>
    </row>
    <row r="98" customFormat="false" ht="18.75" hidden="false" customHeight="true" outlineLevel="0" collapsed="false">
      <c r="A98" s="60" t="s">
        <v>76</v>
      </c>
      <c r="B98" s="60"/>
      <c r="C98" s="60"/>
      <c r="D98" s="60"/>
      <c r="E98" s="60"/>
      <c r="F98" s="60"/>
      <c r="G98" s="60"/>
      <c r="H98" s="60"/>
      <c r="I98" s="275" t="n">
        <f aca="false">SUM(I96+I97)</f>
        <v>367.69</v>
      </c>
      <c r="K98" s="66"/>
    </row>
    <row r="99" customFormat="false" ht="15.75" hidden="false" customHeight="false" outlineLevel="0" collapsed="false">
      <c r="A99" s="104" t="s">
        <v>108</v>
      </c>
      <c r="B99" s="104"/>
      <c r="C99" s="104"/>
      <c r="D99" s="104"/>
      <c r="E99" s="104"/>
      <c r="F99" s="104"/>
      <c r="G99" s="104"/>
      <c r="H99" s="104"/>
      <c r="I99" s="104"/>
    </row>
    <row r="100" customFormat="false" ht="15.75" hidden="false" customHeight="false" outlineLevel="0" collapsed="false">
      <c r="A100" s="62" t="n">
        <v>4</v>
      </c>
      <c r="B100" s="81" t="s">
        <v>109</v>
      </c>
      <c r="C100" s="81"/>
      <c r="D100" s="81"/>
      <c r="E100" s="81"/>
      <c r="F100" s="81"/>
      <c r="G100" s="81"/>
      <c r="H100" s="81"/>
      <c r="I100" s="272" t="s">
        <v>35</v>
      </c>
    </row>
    <row r="101" customFormat="false" ht="15.75" hidden="false" customHeight="false" outlineLevel="0" collapsed="false">
      <c r="A101" s="17" t="s">
        <v>61</v>
      </c>
      <c r="B101" s="83" t="s">
        <v>62</v>
      </c>
      <c r="C101" s="83"/>
      <c r="D101" s="83"/>
      <c r="E101" s="83"/>
      <c r="F101" s="83"/>
      <c r="G101" s="83"/>
      <c r="H101" s="83"/>
      <c r="I101" s="282" t="n">
        <f aca="false">I66</f>
        <v>634.86</v>
      </c>
    </row>
    <row r="102" customFormat="false" ht="15.75" hidden="false" customHeight="false" outlineLevel="0" collapsed="false">
      <c r="A102" s="17" t="s">
        <v>80</v>
      </c>
      <c r="B102" s="83" t="s">
        <v>110</v>
      </c>
      <c r="C102" s="83"/>
      <c r="D102" s="83"/>
      <c r="E102" s="83"/>
      <c r="F102" s="83"/>
      <c r="G102" s="83"/>
      <c r="H102" s="83"/>
      <c r="I102" s="282" t="n">
        <f aca="false">I74</f>
        <v>213.31</v>
      </c>
    </row>
    <row r="103" customFormat="false" ht="15.75" hidden="false" customHeight="false" outlineLevel="0" collapsed="false">
      <c r="A103" s="17" t="s">
        <v>86</v>
      </c>
      <c r="B103" s="83" t="s">
        <v>87</v>
      </c>
      <c r="C103" s="83"/>
      <c r="D103" s="83"/>
      <c r="E103" s="83"/>
      <c r="F103" s="83"/>
      <c r="G103" s="83"/>
      <c r="H103" s="83"/>
      <c r="I103" s="282" t="n">
        <f aca="false">I79</f>
        <v>1.8942</v>
      </c>
    </row>
    <row r="104" customFormat="false" ht="15.75" hidden="false" customHeight="false" outlineLevel="0" collapsed="false">
      <c r="A104" s="17" t="s">
        <v>91</v>
      </c>
      <c r="B104" s="83" t="s">
        <v>111</v>
      </c>
      <c r="C104" s="83"/>
      <c r="D104" s="83"/>
      <c r="E104" s="83"/>
      <c r="F104" s="83"/>
      <c r="G104" s="83"/>
      <c r="H104" s="83"/>
      <c r="I104" s="282" t="n">
        <f aca="false">I88</f>
        <v>103.1</v>
      </c>
    </row>
    <row r="105" customFormat="false" ht="15.75" hidden="false" customHeight="false" outlineLevel="0" collapsed="false">
      <c r="A105" s="17" t="s">
        <v>100</v>
      </c>
      <c r="B105" s="83" t="s">
        <v>112</v>
      </c>
      <c r="C105" s="83"/>
      <c r="D105" s="83"/>
      <c r="E105" s="83"/>
      <c r="F105" s="83"/>
      <c r="G105" s="83"/>
      <c r="H105" s="83"/>
      <c r="I105" s="282" t="n">
        <f aca="false">I98</f>
        <v>367.69</v>
      </c>
    </row>
    <row r="106" customFormat="false" ht="15.75" hidden="false" customHeight="false" outlineLevel="0" collapsed="false">
      <c r="A106" s="60" t="s">
        <v>76</v>
      </c>
      <c r="B106" s="60"/>
      <c r="C106" s="60"/>
      <c r="D106" s="60"/>
      <c r="E106" s="60"/>
      <c r="F106" s="60"/>
      <c r="G106" s="60"/>
      <c r="H106" s="60"/>
      <c r="I106" s="275" t="n">
        <f aca="false">SUM(I101:I105)</f>
        <v>1320.8542</v>
      </c>
      <c r="K106" s="106"/>
    </row>
    <row r="107" customFormat="false" ht="16.5" hidden="false" customHeight="true" outlineLevel="0" collapsed="false">
      <c r="A107" s="107" t="s">
        <v>113</v>
      </c>
      <c r="B107" s="107"/>
      <c r="C107" s="107"/>
      <c r="D107" s="107"/>
      <c r="E107" s="107"/>
      <c r="F107" s="107"/>
      <c r="G107" s="107"/>
      <c r="H107" s="107"/>
      <c r="I107" s="107"/>
    </row>
    <row r="108" customFormat="false" ht="15.75" hidden="false" customHeight="false" outlineLevel="0" collapsed="false">
      <c r="A108" s="62" t="n">
        <v>5</v>
      </c>
      <c r="B108" s="63" t="s">
        <v>114</v>
      </c>
      <c r="C108" s="63"/>
      <c r="D108" s="63"/>
      <c r="E108" s="63"/>
      <c r="F108" s="63"/>
      <c r="G108" s="63"/>
      <c r="H108" s="108" t="s">
        <v>63</v>
      </c>
      <c r="I108" s="272" t="s">
        <v>35</v>
      </c>
    </row>
    <row r="109" customFormat="false" ht="56.25" hidden="false" customHeight="true" outlineLevel="0" collapsed="false">
      <c r="A109" s="109" t="s">
        <v>115</v>
      </c>
      <c r="B109" s="109"/>
      <c r="C109" s="109"/>
      <c r="D109" s="109"/>
      <c r="E109" s="109"/>
      <c r="F109" s="109"/>
      <c r="G109" s="109"/>
      <c r="H109" s="110" t="n">
        <v>0</v>
      </c>
      <c r="I109" s="287" t="n">
        <f aca="false">(I40+I49+I54+I106)</f>
        <v>3788.40845</v>
      </c>
    </row>
    <row r="110" customFormat="false" ht="15.75" hidden="false" customHeight="false" outlineLevel="0" collapsed="false">
      <c r="A110" s="17" t="s">
        <v>8</v>
      </c>
      <c r="B110" s="83" t="s">
        <v>116</v>
      </c>
      <c r="C110" s="83"/>
      <c r="D110" s="83"/>
      <c r="E110" s="83"/>
      <c r="F110" s="83"/>
      <c r="G110" s="83"/>
      <c r="H110" s="112" t="n">
        <f aca="false">'Alegrete 1.1'!H110</f>
        <v>0.1207</v>
      </c>
      <c r="I110" s="273" t="n">
        <f aca="false">ROUND(I109*H110,2)</f>
        <v>457.26</v>
      </c>
      <c r="J110" s="113"/>
    </row>
    <row r="111" customFormat="false" ht="51.75" hidden="false" customHeight="true" outlineLevel="0" collapsed="false">
      <c r="A111" s="109" t="s">
        <v>117</v>
      </c>
      <c r="B111" s="109"/>
      <c r="C111" s="109"/>
      <c r="D111" s="109"/>
      <c r="E111" s="109"/>
      <c r="F111" s="109"/>
      <c r="G111" s="109"/>
      <c r="H111" s="114" t="n">
        <v>0</v>
      </c>
      <c r="I111" s="288" t="n">
        <f aca="false">I109+I110</f>
        <v>4245.66845</v>
      </c>
      <c r="J111" s="113"/>
    </row>
    <row r="112" customFormat="false" ht="15.75" hidden="false" customHeight="false" outlineLevel="0" collapsed="false">
      <c r="A112" s="17" t="s">
        <v>10</v>
      </c>
      <c r="B112" s="83" t="s">
        <v>118</v>
      </c>
      <c r="C112" s="83"/>
      <c r="D112" s="83"/>
      <c r="E112" s="83"/>
      <c r="F112" s="83"/>
      <c r="G112" s="83"/>
      <c r="H112" s="112" t="n">
        <f aca="false">'Alegrete 1.1'!H112</f>
        <v>0.0818</v>
      </c>
      <c r="I112" s="273" t="n">
        <f aca="false">ROUND(I111*H112,2)</f>
        <v>347.3</v>
      </c>
      <c r="J112" s="116"/>
    </row>
    <row r="113" customFormat="false" ht="51.75" hidden="false" customHeight="true" outlineLevel="0" collapsed="false">
      <c r="A113" s="109" t="s">
        <v>119</v>
      </c>
      <c r="B113" s="109"/>
      <c r="C113" s="109"/>
      <c r="D113" s="109"/>
      <c r="E113" s="109"/>
      <c r="F113" s="109"/>
      <c r="G113" s="109"/>
      <c r="H113" s="117" t="n">
        <v>0</v>
      </c>
      <c r="I113" s="289" t="n">
        <f aca="false">I111+I112</f>
        <v>4592.96845</v>
      </c>
      <c r="J113" s="116"/>
    </row>
    <row r="114" customFormat="false" ht="15.75" hidden="false" customHeight="false" outlineLevel="0" collapsed="false">
      <c r="A114" s="17" t="s">
        <v>12</v>
      </c>
      <c r="B114" s="83" t="s">
        <v>120</v>
      </c>
      <c r="C114" s="83"/>
      <c r="D114" s="83"/>
      <c r="E114" s="83"/>
      <c r="F114" s="83"/>
      <c r="G114" s="83"/>
      <c r="H114" s="119" t="s">
        <v>198</v>
      </c>
      <c r="I114" s="290" t="s">
        <v>198</v>
      </c>
      <c r="J114" s="116"/>
    </row>
    <row r="115" customFormat="false" ht="15.75" hidden="false" customHeight="false" outlineLevel="0" collapsed="false">
      <c r="A115" s="17"/>
      <c r="B115" s="83" t="s">
        <v>121</v>
      </c>
      <c r="C115" s="83"/>
      <c r="D115" s="83"/>
      <c r="E115" s="83"/>
      <c r="F115" s="83"/>
      <c r="G115" s="83"/>
      <c r="H115" s="119" t="s">
        <v>198</v>
      </c>
      <c r="I115" s="290" t="s">
        <v>198</v>
      </c>
    </row>
    <row r="116" customFormat="false" ht="31.5" hidden="false" customHeight="true" outlineLevel="0" collapsed="false">
      <c r="A116" s="17"/>
      <c r="B116" s="67" t="s">
        <v>199</v>
      </c>
      <c r="C116" s="67"/>
      <c r="D116" s="67"/>
      <c r="E116" s="67"/>
      <c r="F116" s="67"/>
      <c r="G116" s="67"/>
      <c r="H116" s="121" t="n">
        <v>0.03</v>
      </c>
      <c r="I116" s="273" t="n">
        <f aca="false">ROUND(($I$113/(1-H123))*H116,2)</f>
        <v>146.82</v>
      </c>
    </row>
    <row r="117" customFormat="false" ht="23.25" hidden="false" customHeight="true" outlineLevel="0" collapsed="false">
      <c r="A117" s="17"/>
      <c r="B117" s="67" t="s">
        <v>200</v>
      </c>
      <c r="C117" s="67"/>
      <c r="D117" s="67"/>
      <c r="E117" s="67"/>
      <c r="F117" s="67"/>
      <c r="G117" s="67"/>
      <c r="H117" s="121" t="n">
        <v>0.0065</v>
      </c>
      <c r="I117" s="273" t="n">
        <f aca="false">ROUND(($I$113/(1-H123))*H117,2)</f>
        <v>31.81</v>
      </c>
      <c r="K117" s="66"/>
    </row>
    <row r="118" customFormat="false" ht="15.75" hidden="false" customHeight="true" outlineLevel="0" collapsed="false">
      <c r="A118" s="17"/>
      <c r="B118" s="122" t="s">
        <v>124</v>
      </c>
      <c r="C118" s="122"/>
      <c r="D118" s="122"/>
      <c r="E118" s="122"/>
      <c r="F118" s="122"/>
      <c r="G118" s="122"/>
      <c r="H118" s="121" t="s">
        <v>198</v>
      </c>
      <c r="I118" s="290" t="s">
        <v>198</v>
      </c>
      <c r="K118" s="66"/>
    </row>
    <row r="119" customFormat="false" ht="15.75" hidden="false" customHeight="false" outlineLevel="0" collapsed="false">
      <c r="A119" s="17"/>
      <c r="B119" s="83" t="s">
        <v>125</v>
      </c>
      <c r="C119" s="83"/>
      <c r="D119" s="83"/>
      <c r="E119" s="83"/>
      <c r="F119" s="83"/>
      <c r="G119" s="83"/>
      <c r="H119" s="119" t="s">
        <v>198</v>
      </c>
      <c r="I119" s="290" t="s">
        <v>198</v>
      </c>
    </row>
    <row r="120" customFormat="false" ht="15.75" hidden="false" customHeight="false" outlineLevel="0" collapsed="false">
      <c r="A120" s="17"/>
      <c r="B120" s="83" t="s">
        <v>126</v>
      </c>
      <c r="C120" s="83"/>
      <c r="D120" s="83"/>
      <c r="E120" s="83"/>
      <c r="F120" s="83"/>
      <c r="G120" s="83"/>
      <c r="H120" s="119" t="s">
        <v>198</v>
      </c>
      <c r="I120" s="290" t="s">
        <v>198</v>
      </c>
      <c r="K120" s="66"/>
    </row>
    <row r="121" customFormat="false" ht="15.75" hidden="false" customHeight="false" outlineLevel="0" collapsed="false">
      <c r="A121" s="17"/>
      <c r="B121" s="74" t="s">
        <v>248</v>
      </c>
      <c r="C121" s="74"/>
      <c r="D121" s="74"/>
      <c r="E121" s="74"/>
      <c r="F121" s="74"/>
      <c r="G121" s="74"/>
      <c r="H121" s="124" t="n">
        <v>0.025</v>
      </c>
      <c r="I121" s="273" t="n">
        <f aca="false">ROUND(($I$113/(1-H123))*H121,2)</f>
        <v>122.35</v>
      </c>
    </row>
    <row r="122" customFormat="false" ht="15.75" hidden="false" customHeight="false" outlineLevel="0" collapsed="false">
      <c r="A122" s="125" t="s">
        <v>76</v>
      </c>
      <c r="B122" s="125"/>
      <c r="C122" s="125"/>
      <c r="D122" s="125"/>
      <c r="E122" s="125"/>
      <c r="F122" s="125"/>
      <c r="G122" s="125"/>
      <c r="H122" s="125"/>
      <c r="I122" s="291" t="n">
        <f aca="false">I110+I112+I116+I117+I121</f>
        <v>1105.54</v>
      </c>
    </row>
    <row r="123" customFormat="false" ht="15.75" hidden="false" customHeight="false" outlineLevel="0" collapsed="false">
      <c r="A123" s="127" t="s">
        <v>128</v>
      </c>
      <c r="B123" s="127"/>
      <c r="C123" s="127"/>
      <c r="D123" s="127"/>
      <c r="E123" s="127"/>
      <c r="F123" s="127"/>
      <c r="G123" s="127"/>
      <c r="H123" s="128" t="n">
        <f aca="false">SUM(H116:H121)</f>
        <v>0.0615</v>
      </c>
      <c r="I123" s="292" t="n">
        <f aca="false">SUM(I116+I117+I121)</f>
        <v>300.98</v>
      </c>
    </row>
    <row r="124" customFormat="false" ht="15.75" hidden="false" customHeight="false" outlineLevel="0" collapsed="false">
      <c r="A124" s="130" t="s">
        <v>129</v>
      </c>
      <c r="B124" s="130"/>
      <c r="C124" s="293" t="s">
        <v>130</v>
      </c>
      <c r="D124" s="293"/>
      <c r="E124" s="293"/>
      <c r="F124" s="293"/>
      <c r="G124" s="293"/>
      <c r="H124" s="293"/>
      <c r="I124" s="293"/>
    </row>
    <row r="125" customFormat="false" ht="15" hidden="false" customHeight="false" outlineLevel="0" collapsed="false">
      <c r="A125" s="130"/>
      <c r="B125" s="130"/>
      <c r="C125" s="294" t="s">
        <v>131</v>
      </c>
      <c r="D125" s="294"/>
      <c r="E125" s="294"/>
      <c r="F125" s="294"/>
      <c r="G125" s="294"/>
      <c r="H125" s="294"/>
      <c r="I125" s="294"/>
    </row>
    <row r="126" customFormat="false" ht="15.75" hidden="false" customHeight="false" outlineLevel="0" collapsed="false">
      <c r="A126" s="133" t="s">
        <v>132</v>
      </c>
      <c r="B126" s="133"/>
      <c r="C126" s="133"/>
      <c r="D126" s="133"/>
      <c r="E126" s="133"/>
      <c r="F126" s="133"/>
      <c r="G126" s="133"/>
      <c r="H126" s="133"/>
      <c r="I126" s="133"/>
    </row>
    <row r="127" customFormat="false" ht="15.75" hidden="false" customHeight="false" outlineLevel="0" collapsed="false">
      <c r="A127" s="94" t="s">
        <v>133</v>
      </c>
      <c r="B127" s="94"/>
      <c r="C127" s="94"/>
      <c r="D127" s="94"/>
      <c r="E127" s="94"/>
      <c r="F127" s="94"/>
      <c r="G127" s="94"/>
      <c r="H127" s="94"/>
      <c r="I127" s="94"/>
    </row>
    <row r="128" customFormat="false" ht="15.75" hidden="false" customHeight="false" outlineLevel="0" collapsed="false">
      <c r="A128" s="295"/>
      <c r="B128" s="295"/>
      <c r="C128" s="295"/>
      <c r="D128" s="295"/>
      <c r="E128" s="295"/>
      <c r="F128" s="295"/>
      <c r="G128" s="295"/>
      <c r="H128" s="295"/>
      <c r="I128" s="295"/>
    </row>
    <row r="129" customFormat="false" ht="15.75" hidden="false" customHeight="false" outlineLevel="0" collapsed="false">
      <c r="A129" s="33" t="s">
        <v>134</v>
      </c>
      <c r="B129" s="33"/>
      <c r="C129" s="33"/>
      <c r="D129" s="33"/>
      <c r="E129" s="33"/>
      <c r="F129" s="33"/>
      <c r="G129" s="33"/>
      <c r="H129" s="33"/>
      <c r="I129" s="33"/>
    </row>
    <row r="130" customFormat="false" ht="15.75" hidden="false" customHeight="false" outlineLevel="0" collapsed="false">
      <c r="A130" s="135" t="s">
        <v>135</v>
      </c>
      <c r="B130" s="135"/>
      <c r="C130" s="135"/>
      <c r="D130" s="135"/>
      <c r="E130" s="135"/>
      <c r="F130" s="135"/>
      <c r="G130" s="135"/>
      <c r="H130" s="135"/>
      <c r="I130" s="135"/>
    </row>
    <row r="131" customFormat="false" ht="15.75" hidden="false" customHeight="false" outlineLevel="0" collapsed="false">
      <c r="A131" s="136" t="s">
        <v>136</v>
      </c>
      <c r="B131" s="136"/>
      <c r="C131" s="136"/>
      <c r="D131" s="136"/>
      <c r="E131" s="136"/>
      <c r="F131" s="136"/>
      <c r="G131" s="136"/>
      <c r="H131" s="136"/>
      <c r="I131" s="296" t="s">
        <v>35</v>
      </c>
    </row>
    <row r="132" customFormat="false" ht="15.75" hidden="false" customHeight="false" outlineLevel="0" collapsed="false">
      <c r="A132" s="14" t="s">
        <v>8</v>
      </c>
      <c r="B132" s="15" t="s">
        <v>137</v>
      </c>
      <c r="C132" s="15"/>
      <c r="D132" s="15"/>
      <c r="E132" s="15"/>
      <c r="F132" s="15"/>
      <c r="G132" s="15"/>
      <c r="H132" s="15"/>
      <c r="I132" s="297" t="n">
        <f aca="false">I40</f>
        <v>1891.908</v>
      </c>
    </row>
    <row r="133" customFormat="false" ht="15.75" hidden="false" customHeight="false" outlineLevel="0" collapsed="false">
      <c r="A133" s="14" t="s">
        <v>10</v>
      </c>
      <c r="B133" s="15" t="s">
        <v>138</v>
      </c>
      <c r="C133" s="15"/>
      <c r="D133" s="15"/>
      <c r="E133" s="15"/>
      <c r="F133" s="15"/>
      <c r="G133" s="15"/>
      <c r="H133" s="15"/>
      <c r="I133" s="297" t="n">
        <f aca="false">I49</f>
        <v>437.97</v>
      </c>
    </row>
    <row r="134" customFormat="false" ht="15.75" hidden="false" customHeight="false" outlineLevel="0" collapsed="false">
      <c r="A134" s="14" t="s">
        <v>12</v>
      </c>
      <c r="B134" s="15" t="s">
        <v>139</v>
      </c>
      <c r="C134" s="15"/>
      <c r="D134" s="15"/>
      <c r="E134" s="15"/>
      <c r="F134" s="15"/>
      <c r="G134" s="15"/>
      <c r="H134" s="15"/>
      <c r="I134" s="298" t="n">
        <f aca="false">I54</f>
        <v>137.67625</v>
      </c>
    </row>
    <row r="135" customFormat="false" ht="15.75" hidden="false" customHeight="false" outlineLevel="0" collapsed="false">
      <c r="A135" s="14" t="s">
        <v>14</v>
      </c>
      <c r="B135" s="15" t="s">
        <v>109</v>
      </c>
      <c r="C135" s="15"/>
      <c r="D135" s="15"/>
      <c r="E135" s="15"/>
      <c r="F135" s="15"/>
      <c r="G135" s="15"/>
      <c r="H135" s="15"/>
      <c r="I135" s="297" t="n">
        <f aca="false">I106</f>
        <v>1320.8542</v>
      </c>
    </row>
    <row r="136" customFormat="false" ht="15.75" hidden="false" customHeight="false" outlineLevel="0" collapsed="false">
      <c r="A136" s="140" t="s">
        <v>140</v>
      </c>
      <c r="B136" s="140"/>
      <c r="C136" s="140"/>
      <c r="D136" s="140"/>
      <c r="E136" s="140"/>
      <c r="F136" s="140"/>
      <c r="G136" s="140"/>
      <c r="H136" s="140"/>
      <c r="I136" s="299" t="n">
        <f aca="false">SUM(I132:I135)</f>
        <v>3788.40845</v>
      </c>
    </row>
    <row r="137" customFormat="false" ht="15.75" hidden="false" customHeight="false" outlineLevel="0" collapsed="false">
      <c r="A137" s="14" t="s">
        <v>40</v>
      </c>
      <c r="B137" s="15" t="s">
        <v>141</v>
      </c>
      <c r="C137" s="15"/>
      <c r="D137" s="15"/>
      <c r="E137" s="15"/>
      <c r="F137" s="15"/>
      <c r="G137" s="15"/>
      <c r="H137" s="15"/>
      <c r="I137" s="297" t="n">
        <f aca="false">I122</f>
        <v>1105.54</v>
      </c>
    </row>
    <row r="138" customFormat="false" ht="15.75" hidden="false" customHeight="false" outlineLevel="0" collapsed="false">
      <c r="A138" s="143" t="s">
        <v>142</v>
      </c>
      <c r="B138" s="143"/>
      <c r="C138" s="143"/>
      <c r="D138" s="143"/>
      <c r="E138" s="143"/>
      <c r="F138" s="143"/>
      <c r="G138" s="143"/>
      <c r="H138" s="143"/>
      <c r="I138" s="300" t="n">
        <f aca="false">SUM(I136+I137)</f>
        <v>4893.94845</v>
      </c>
    </row>
    <row r="139" customFormat="false" ht="15.75" hidden="false" customHeight="false" outlineLevel="0" collapsed="false">
      <c r="A139" s="301"/>
      <c r="B139" s="301"/>
      <c r="C139" s="301"/>
      <c r="D139" s="301"/>
      <c r="E139" s="301"/>
      <c r="F139" s="301"/>
      <c r="G139" s="301"/>
      <c r="H139" s="301"/>
      <c r="I139" s="301"/>
    </row>
    <row r="140" customFormat="false" ht="15.75" hidden="false" customHeight="false" outlineLevel="0" collapsed="false">
      <c r="A140" s="33" t="s">
        <v>143</v>
      </c>
      <c r="B140" s="33"/>
      <c r="C140" s="33"/>
      <c r="D140" s="33"/>
      <c r="E140" s="33"/>
      <c r="F140" s="33"/>
      <c r="G140" s="33"/>
      <c r="H140" s="33"/>
      <c r="I140" s="33"/>
    </row>
    <row r="141" customFormat="false" ht="15.75" hidden="false" customHeight="false" outlineLevel="0" collapsed="false">
      <c r="A141" s="146" t="s">
        <v>144</v>
      </c>
      <c r="B141" s="146"/>
      <c r="C141" s="146"/>
      <c r="D141" s="146"/>
      <c r="E141" s="146"/>
      <c r="F141" s="146"/>
      <c r="G141" s="146"/>
      <c r="H141" s="146"/>
      <c r="I141" s="146"/>
    </row>
    <row r="142" customFormat="false" ht="47.25" hidden="false" customHeight="true" outlineLevel="0" collapsed="false">
      <c r="A142" s="147" t="s">
        <v>145</v>
      </c>
      <c r="B142" s="147"/>
      <c r="C142" s="148" t="s">
        <v>146</v>
      </c>
      <c r="D142" s="148"/>
      <c r="E142" s="149" t="s">
        <v>147</v>
      </c>
      <c r="F142" s="148" t="s">
        <v>148</v>
      </c>
      <c r="G142" s="148"/>
      <c r="H142" s="148" t="s">
        <v>149</v>
      </c>
      <c r="I142" s="302" t="s">
        <v>150</v>
      </c>
    </row>
    <row r="143" customFormat="false" ht="27" hidden="false" customHeight="true" outlineLevel="0" collapsed="false">
      <c r="A143" s="151" t="s">
        <v>26</v>
      </c>
      <c r="B143" s="151"/>
      <c r="C143" s="152" t="n">
        <f aca="false">I138</f>
        <v>4893.94845</v>
      </c>
      <c r="D143" s="152"/>
      <c r="E143" s="153" t="n">
        <v>2</v>
      </c>
      <c r="F143" s="154" t="n">
        <f aca="false">C143</f>
        <v>4893.94845</v>
      </c>
      <c r="G143" s="154"/>
      <c r="H143" s="155" t="n">
        <v>2</v>
      </c>
      <c r="I143" s="303" t="n">
        <f aca="false">F143*H143</f>
        <v>9787.8969</v>
      </c>
    </row>
    <row r="144" customFormat="false" ht="15.75" hidden="false" customHeight="false" outlineLevel="0" collapsed="false">
      <c r="A144" s="301"/>
      <c r="B144" s="301"/>
      <c r="C144" s="301"/>
      <c r="D144" s="301"/>
      <c r="E144" s="301"/>
      <c r="F144" s="301"/>
      <c r="G144" s="301"/>
      <c r="H144" s="301"/>
      <c r="I144" s="301"/>
    </row>
    <row r="145" customFormat="false" ht="15.75" hidden="false" customHeight="false" outlineLevel="0" collapsed="false">
      <c r="A145" s="33" t="s">
        <v>151</v>
      </c>
      <c r="B145" s="33"/>
      <c r="C145" s="33"/>
      <c r="D145" s="33"/>
      <c r="E145" s="33"/>
      <c r="F145" s="33"/>
      <c r="G145" s="33"/>
      <c r="H145" s="33"/>
      <c r="I145" s="33"/>
    </row>
    <row r="146" customFormat="false" ht="15.75" hidden="false" customHeight="false" outlineLevel="0" collapsed="false">
      <c r="A146" s="146" t="s">
        <v>152</v>
      </c>
      <c r="B146" s="146"/>
      <c r="C146" s="146"/>
      <c r="D146" s="146"/>
      <c r="E146" s="146"/>
      <c r="F146" s="146"/>
      <c r="G146" s="146"/>
      <c r="H146" s="146"/>
      <c r="I146" s="146"/>
    </row>
    <row r="147" customFormat="false" ht="15.75" hidden="false" customHeight="false" outlineLevel="0" collapsed="false">
      <c r="A147" s="157" t="s">
        <v>153</v>
      </c>
      <c r="B147" s="157"/>
      <c r="C147" s="157"/>
      <c r="D147" s="157"/>
      <c r="E147" s="157"/>
      <c r="F147" s="157"/>
      <c r="G147" s="157"/>
      <c r="H147" s="157"/>
      <c r="I147" s="157"/>
    </row>
    <row r="148" customFormat="false" ht="15.75" hidden="false" customHeight="false" outlineLevel="0" collapsed="false">
      <c r="A148" s="158" t="s">
        <v>8</v>
      </c>
      <c r="B148" s="15" t="s">
        <v>154</v>
      </c>
      <c r="C148" s="15"/>
      <c r="D148" s="15"/>
      <c r="E148" s="15"/>
      <c r="F148" s="15"/>
      <c r="G148" s="15"/>
      <c r="H148" s="15"/>
      <c r="I148" s="304" t="n">
        <f aca="false">F143</f>
        <v>4893.94845</v>
      </c>
    </row>
    <row r="149" customFormat="false" ht="15.75" hidden="false" customHeight="false" outlineLevel="0" collapsed="false">
      <c r="A149" s="158" t="s">
        <v>10</v>
      </c>
      <c r="B149" s="15" t="s">
        <v>155</v>
      </c>
      <c r="C149" s="15"/>
      <c r="D149" s="15"/>
      <c r="E149" s="15"/>
      <c r="F149" s="15"/>
      <c r="G149" s="15"/>
      <c r="H149" s="15"/>
      <c r="I149" s="305" t="n">
        <f aca="false">I143</f>
        <v>9787.8969</v>
      </c>
    </row>
    <row r="150" customFormat="false" ht="16.5" hidden="false" customHeight="true" outlineLevel="0" collapsed="false">
      <c r="A150" s="161" t="s">
        <v>12</v>
      </c>
      <c r="B150" s="162" t="s">
        <v>156</v>
      </c>
      <c r="C150" s="162"/>
      <c r="D150" s="162"/>
      <c r="E150" s="162"/>
      <c r="F150" s="162"/>
      <c r="G150" s="162"/>
      <c r="H150" s="162"/>
      <c r="I150" s="306" t="n">
        <f aca="false">I149*12</f>
        <v>117454.7628</v>
      </c>
    </row>
  </sheetData>
  <mergeCells count="155">
    <mergeCell ref="A8:I8"/>
    <mergeCell ref="A9:I9"/>
    <mergeCell ref="A10:I10"/>
    <mergeCell ref="A11:I11"/>
    <mergeCell ref="A12:I12"/>
    <mergeCell ref="A13:I13"/>
    <mergeCell ref="A14:I14"/>
    <mergeCell ref="B15:H15"/>
    <mergeCell ref="B16:H16"/>
    <mergeCell ref="B17:H17"/>
    <mergeCell ref="B18:H18"/>
    <mergeCell ref="A19:I19"/>
    <mergeCell ref="A20:D20"/>
    <mergeCell ref="E20:F20"/>
    <mergeCell ref="G20:I20"/>
    <mergeCell ref="A21:D21"/>
    <mergeCell ref="E21:F22"/>
    <mergeCell ref="G21:I22"/>
    <mergeCell ref="A22:D22"/>
    <mergeCell ref="B23:I23"/>
    <mergeCell ref="A24:I24"/>
    <mergeCell ref="A25:I25"/>
    <mergeCell ref="A26:I26"/>
    <mergeCell ref="B27:H27"/>
    <mergeCell ref="B28:H28"/>
    <mergeCell ref="B29:H29"/>
    <mergeCell ref="B30:H30"/>
    <mergeCell ref="B31:H31"/>
    <mergeCell ref="B32:H32"/>
    <mergeCell ref="B33:H33"/>
    <mergeCell ref="A34:I34"/>
    <mergeCell ref="A35:I35"/>
    <mergeCell ref="B36:H36"/>
    <mergeCell ref="B37:H37"/>
    <mergeCell ref="B38:H38"/>
    <mergeCell ref="B39:H39"/>
    <mergeCell ref="A40:H40"/>
    <mergeCell ref="A41:I41"/>
    <mergeCell ref="B42:H42"/>
    <mergeCell ref="A43:A45"/>
    <mergeCell ref="B43:H43"/>
    <mergeCell ref="B44:G44"/>
    <mergeCell ref="B45:G45"/>
    <mergeCell ref="A46:A47"/>
    <mergeCell ref="B46:H46"/>
    <mergeCell ref="B47:G47"/>
    <mergeCell ref="B48:H48"/>
    <mergeCell ref="A49:H49"/>
    <mergeCell ref="A50:I50"/>
    <mergeCell ref="A51:I51"/>
    <mergeCell ref="B52:H52"/>
    <mergeCell ref="B53:H53"/>
    <mergeCell ref="A54:H54"/>
    <mergeCell ref="A55:I55"/>
    <mergeCell ref="A56:I56"/>
    <mergeCell ref="B57:G57"/>
    <mergeCell ref="B58:G58"/>
    <mergeCell ref="B59:G59"/>
    <mergeCell ref="B60:G60"/>
    <mergeCell ref="B61:G61"/>
    <mergeCell ref="B62:G62"/>
    <mergeCell ref="B63:G63"/>
    <mergeCell ref="B64:E64"/>
    <mergeCell ref="B65:G65"/>
    <mergeCell ref="A66:G66"/>
    <mergeCell ref="A67:I67"/>
    <mergeCell ref="A68:I68"/>
    <mergeCell ref="A69:I69"/>
    <mergeCell ref="B70:H70"/>
    <mergeCell ref="B71:H71"/>
    <mergeCell ref="A72:H72"/>
    <mergeCell ref="B73:H73"/>
    <mergeCell ref="A74:H74"/>
    <mergeCell ref="A75:I75"/>
    <mergeCell ref="B76:H76"/>
    <mergeCell ref="B77:H77"/>
    <mergeCell ref="B78:H78"/>
    <mergeCell ref="A79:H79"/>
    <mergeCell ref="A80:I80"/>
    <mergeCell ref="B81:H81"/>
    <mergeCell ref="B82:H82"/>
    <mergeCell ref="B83:H83"/>
    <mergeCell ref="B84:H84"/>
    <mergeCell ref="B85:H85"/>
    <mergeCell ref="B86:H86"/>
    <mergeCell ref="B87:H87"/>
    <mergeCell ref="A88:H88"/>
    <mergeCell ref="A89:I89"/>
    <mergeCell ref="B90:H90"/>
    <mergeCell ref="B91:H91"/>
    <mergeCell ref="B92:H92"/>
    <mergeCell ref="B93:H93"/>
    <mergeCell ref="B94:H94"/>
    <mergeCell ref="B95:H95"/>
    <mergeCell ref="A96:H96"/>
    <mergeCell ref="B97:H97"/>
    <mergeCell ref="A98:H98"/>
    <mergeCell ref="A99:I99"/>
    <mergeCell ref="B100:H100"/>
    <mergeCell ref="B101:H101"/>
    <mergeCell ref="B102:H102"/>
    <mergeCell ref="B103:H103"/>
    <mergeCell ref="B104:H104"/>
    <mergeCell ref="B105:H105"/>
    <mergeCell ref="A106:H106"/>
    <mergeCell ref="A107:I107"/>
    <mergeCell ref="B108:G108"/>
    <mergeCell ref="A109:G109"/>
    <mergeCell ref="B110:G110"/>
    <mergeCell ref="A111:G111"/>
    <mergeCell ref="B112:G112"/>
    <mergeCell ref="A113:G113"/>
    <mergeCell ref="A114:A121"/>
    <mergeCell ref="B114:G114"/>
    <mergeCell ref="B115:G115"/>
    <mergeCell ref="B116:G116"/>
    <mergeCell ref="B117:G117"/>
    <mergeCell ref="B118:G118"/>
    <mergeCell ref="B119:G119"/>
    <mergeCell ref="B120:G120"/>
    <mergeCell ref="B121:G121"/>
    <mergeCell ref="A122:H122"/>
    <mergeCell ref="A123:G123"/>
    <mergeCell ref="A124:B125"/>
    <mergeCell ref="C124:I124"/>
    <mergeCell ref="C125:I125"/>
    <mergeCell ref="A126:I126"/>
    <mergeCell ref="A127:I127"/>
    <mergeCell ref="A128:I128"/>
    <mergeCell ref="A129:I129"/>
    <mergeCell ref="A130:I130"/>
    <mergeCell ref="A131:H131"/>
    <mergeCell ref="B132:H132"/>
    <mergeCell ref="B133:H133"/>
    <mergeCell ref="B134:H134"/>
    <mergeCell ref="B135:H135"/>
    <mergeCell ref="A136:H136"/>
    <mergeCell ref="B137:H137"/>
    <mergeCell ref="A138:H138"/>
    <mergeCell ref="A139:I139"/>
    <mergeCell ref="A140:I140"/>
    <mergeCell ref="A141:I141"/>
    <mergeCell ref="A142:B142"/>
    <mergeCell ref="C142:D142"/>
    <mergeCell ref="F142:G142"/>
    <mergeCell ref="A143:B143"/>
    <mergeCell ref="C143:D143"/>
    <mergeCell ref="F143:G143"/>
    <mergeCell ref="A144:I144"/>
    <mergeCell ref="A145:I145"/>
    <mergeCell ref="A146:I146"/>
    <mergeCell ref="A147:I147"/>
    <mergeCell ref="B148:H148"/>
    <mergeCell ref="B149:H149"/>
    <mergeCell ref="B150:H150"/>
  </mergeCells>
  <printOptions headings="false" gridLines="false" gridLinesSet="true" horizontalCentered="false" verticalCentered="false"/>
  <pageMargins left="0.698611111111111" right="0.698611111111111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4" man="true" max="16383" min="0"/>
    <brk id="106" man="true" max="16383" min="0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CD5B5"/>
    <pageSetUpPr fitToPage="false"/>
  </sheetPr>
  <dimension ref="A1:N153"/>
  <sheetViews>
    <sheetView showFormulas="false" showGridLines="true" showRowColHeaders="true" showZeros="true" rightToLeft="false" tabSelected="false" showOutlineSymbols="true" defaultGridColor="true" view="pageBreakPreview" topLeftCell="L28" colorId="64" zoomScale="76" zoomScaleNormal="100" zoomScalePageLayoutView="76" workbookViewId="0">
      <selection pane="topLeft" activeCell="I46" activeCellId="0" sqref="I46"/>
    </sheetView>
  </sheetViews>
  <sheetFormatPr defaultRowHeight="15" zeroHeight="false" outlineLevelRow="0" outlineLevelCol="0"/>
  <cols>
    <col collapsed="false" customWidth="true" hidden="false" outlineLevel="0" max="1" min="1" style="1" width="23.71"/>
    <col collapsed="false" customWidth="true" hidden="false" outlineLevel="0" max="2" min="2" style="1" width="17.59"/>
    <col collapsed="false" customWidth="true" hidden="false" outlineLevel="0" max="3" min="3" style="1" width="20.57"/>
    <col collapsed="false" customWidth="true" hidden="false" outlineLevel="0" max="4" min="4" style="1" width="17.4"/>
    <col collapsed="false" customWidth="true" hidden="false" outlineLevel="0" max="5" min="5" style="1" width="18"/>
    <col collapsed="false" customWidth="true" hidden="false" outlineLevel="0" max="6" min="6" style="1" width="21.57"/>
    <col collapsed="false" customWidth="true" hidden="false" outlineLevel="0" max="7" min="7" style="1" width="9.71"/>
    <col collapsed="false" customWidth="true" hidden="false" outlineLevel="0" max="8" min="8" style="1" width="32"/>
    <col collapsed="false" customWidth="true" hidden="false" outlineLevel="0" max="9" min="9" style="1" width="46.86"/>
    <col collapsed="false" customWidth="true" hidden="true" outlineLevel="0" max="11" min="10" style="1" width="9"/>
    <col collapsed="false" customWidth="true" hidden="false" outlineLevel="0" max="12" min="12" style="1" width="58.57"/>
    <col collapsed="false" customWidth="true" hidden="false" outlineLevel="0" max="1025" min="13" style="1" width="28.57"/>
  </cols>
  <sheetData>
    <row r="1" s="101" customFormat="true" ht="15.75" hidden="false" customHeight="false" outlineLevel="0" collapsed="false">
      <c r="A1" s="173" t="s">
        <v>178</v>
      </c>
      <c r="I1" s="261"/>
    </row>
    <row r="2" s="101" customFormat="true" ht="15.75" hidden="false" customHeight="false" outlineLevel="0" collapsed="false">
      <c r="A2" s="173" t="s">
        <v>179</v>
      </c>
      <c r="I2" s="261"/>
    </row>
    <row r="3" s="101" customFormat="true" ht="15.75" hidden="false" customHeight="false" outlineLevel="0" collapsed="false">
      <c r="A3" s="173" t="s">
        <v>180</v>
      </c>
      <c r="I3" s="261"/>
    </row>
    <row r="4" s="101" customFormat="true" ht="15.75" hidden="false" customHeight="false" outlineLevel="0" collapsed="false">
      <c r="A4" s="173" t="s">
        <v>181</v>
      </c>
      <c r="I4" s="261"/>
    </row>
    <row r="5" s="101" customFormat="true" ht="15.75" hidden="false" customHeight="false" outlineLevel="0" collapsed="false">
      <c r="A5" s="173" t="s">
        <v>182</v>
      </c>
      <c r="I5" s="261"/>
    </row>
    <row r="6" s="101" customFormat="true" ht="15.75" hidden="false" customHeight="false" outlineLevel="0" collapsed="false">
      <c r="A6" s="173" t="s">
        <v>183</v>
      </c>
      <c r="I6" s="261"/>
    </row>
    <row r="7" customFormat="false" ht="15.75" hidden="false" customHeight="false" outlineLevel="0" collapsed="false">
      <c r="A7" s="174" t="s">
        <v>184</v>
      </c>
      <c r="I7" s="262"/>
    </row>
    <row r="8" customFormat="false" ht="15.75" hidden="false" customHeight="false" outlineLevel="0" collapsed="false">
      <c r="A8" s="263" t="s">
        <v>1</v>
      </c>
      <c r="B8" s="263"/>
      <c r="C8" s="263"/>
      <c r="D8" s="263"/>
      <c r="E8" s="263"/>
      <c r="F8" s="263"/>
      <c r="G8" s="263"/>
      <c r="H8" s="263"/>
      <c r="I8" s="263"/>
    </row>
    <row r="9" customFormat="false" ht="15.75" hidden="false" customHeight="false" outlineLevel="0" collapsed="false">
      <c r="A9" s="4" t="s">
        <v>2</v>
      </c>
      <c r="B9" s="4"/>
      <c r="C9" s="4"/>
      <c r="D9" s="4"/>
      <c r="E9" s="4"/>
      <c r="F9" s="4"/>
      <c r="G9" s="4"/>
      <c r="H9" s="4"/>
      <c r="I9" s="4"/>
    </row>
    <row r="10" customFormat="false" ht="15.75" hidden="false" customHeight="false" outlineLevel="0" collapsed="false">
      <c r="A10" s="5" t="s">
        <v>3</v>
      </c>
      <c r="B10" s="5"/>
      <c r="C10" s="5"/>
      <c r="D10" s="5"/>
      <c r="E10" s="5"/>
      <c r="F10" s="5"/>
      <c r="G10" s="5"/>
      <c r="H10" s="5"/>
      <c r="I10" s="5"/>
    </row>
    <row r="11" customFormat="false" ht="15.75" hidden="false" customHeight="false" outlineLevel="0" collapsed="false">
      <c r="A11" s="6" t="s">
        <v>4</v>
      </c>
      <c r="B11" s="6"/>
      <c r="C11" s="6"/>
      <c r="D11" s="6"/>
      <c r="E11" s="6"/>
      <c r="F11" s="6"/>
      <c r="G11" s="6"/>
      <c r="H11" s="6"/>
      <c r="I11" s="6"/>
    </row>
    <row r="12" customFormat="false" ht="15.75" hidden="false" customHeight="false" outlineLevel="0" collapsed="false">
      <c r="A12" s="7" t="s">
        <v>5</v>
      </c>
      <c r="B12" s="7"/>
      <c r="C12" s="7"/>
      <c r="D12" s="7"/>
      <c r="E12" s="7"/>
      <c r="F12" s="7"/>
      <c r="G12" s="7"/>
      <c r="H12" s="7"/>
      <c r="I12" s="7"/>
    </row>
    <row r="13" customFormat="false" ht="15.75" hidden="false" customHeight="false" outlineLevel="0" collapsed="false">
      <c r="A13" s="8" t="s">
        <v>6</v>
      </c>
      <c r="B13" s="8"/>
      <c r="C13" s="8"/>
      <c r="D13" s="8"/>
      <c r="E13" s="8"/>
      <c r="F13" s="8"/>
      <c r="G13" s="8"/>
      <c r="H13" s="8"/>
      <c r="I13" s="8"/>
    </row>
    <row r="14" customFormat="false" ht="15.75" hidden="false" customHeight="false" outlineLevel="0" collapsed="false">
      <c r="A14" s="179" t="s">
        <v>7</v>
      </c>
      <c r="B14" s="179"/>
      <c r="C14" s="179"/>
      <c r="D14" s="179"/>
      <c r="E14" s="179"/>
      <c r="F14" s="179"/>
      <c r="G14" s="179"/>
      <c r="H14" s="179"/>
      <c r="I14" s="179"/>
    </row>
    <row r="15" customFormat="false" ht="15.75" hidden="false" customHeight="false" outlineLevel="0" collapsed="false">
      <c r="A15" s="10" t="s">
        <v>8</v>
      </c>
      <c r="B15" s="11" t="s">
        <v>9</v>
      </c>
      <c r="C15" s="11"/>
      <c r="D15" s="11"/>
      <c r="E15" s="11"/>
      <c r="F15" s="11"/>
      <c r="G15" s="11"/>
      <c r="H15" s="11"/>
      <c r="I15" s="264"/>
      <c r="L15" s="13"/>
    </row>
    <row r="16" customFormat="false" ht="15.75" hidden="false" customHeight="false" outlineLevel="0" collapsed="false">
      <c r="A16" s="14" t="s">
        <v>10</v>
      </c>
      <c r="B16" s="15" t="s">
        <v>11</v>
      </c>
      <c r="C16" s="15"/>
      <c r="D16" s="15"/>
      <c r="E16" s="15"/>
      <c r="F16" s="15"/>
      <c r="G16" s="15"/>
      <c r="H16" s="15"/>
      <c r="I16" s="265" t="s">
        <v>249</v>
      </c>
      <c r="L16" s="13"/>
    </row>
    <row r="17" customFormat="false" ht="47.25" hidden="false" customHeight="true" outlineLevel="0" collapsed="false">
      <c r="A17" s="17" t="s">
        <v>12</v>
      </c>
      <c r="B17" s="18" t="s">
        <v>13</v>
      </c>
      <c r="C17" s="18"/>
      <c r="D17" s="18"/>
      <c r="E17" s="18"/>
      <c r="F17" s="18"/>
      <c r="G17" s="18"/>
      <c r="H17" s="18"/>
      <c r="I17" s="266" t="s">
        <v>186</v>
      </c>
      <c r="L17" s="13"/>
    </row>
    <row r="18" customFormat="false" ht="15.75" hidden="false" customHeight="false" outlineLevel="0" collapsed="false">
      <c r="A18" s="20" t="s">
        <v>14</v>
      </c>
      <c r="B18" s="21" t="s">
        <v>15</v>
      </c>
      <c r="C18" s="21"/>
      <c r="D18" s="21"/>
      <c r="E18" s="21"/>
      <c r="F18" s="21"/>
      <c r="G18" s="21"/>
      <c r="H18" s="21"/>
      <c r="I18" s="267" t="n">
        <v>12</v>
      </c>
    </row>
    <row r="19" customFormat="false" ht="15.75" hidden="false" customHeight="false" outlineLevel="0" collapsed="false">
      <c r="A19" s="179" t="s">
        <v>16</v>
      </c>
      <c r="B19" s="179"/>
      <c r="C19" s="179"/>
      <c r="D19" s="179"/>
      <c r="E19" s="179"/>
      <c r="F19" s="179"/>
      <c r="G19" s="179"/>
      <c r="H19" s="179"/>
      <c r="I19" s="179"/>
    </row>
    <row r="20" customFormat="false" ht="15.75" hidden="false" customHeight="false" outlineLevel="0" collapsed="false">
      <c r="A20" s="23" t="s">
        <v>17</v>
      </c>
      <c r="B20" s="23"/>
      <c r="C20" s="23"/>
      <c r="D20" s="23"/>
      <c r="E20" s="24" t="s">
        <v>18</v>
      </c>
      <c r="F20" s="24"/>
      <c r="G20" s="25" t="s">
        <v>19</v>
      </c>
      <c r="H20" s="25"/>
      <c r="I20" s="25"/>
    </row>
    <row r="21" customFormat="false" ht="15.75" hidden="false" customHeight="true" outlineLevel="0" collapsed="false">
      <c r="A21" s="26" t="s">
        <v>20</v>
      </c>
      <c r="B21" s="26"/>
      <c r="C21" s="26"/>
      <c r="D21" s="26"/>
      <c r="E21" s="27" t="s">
        <v>21</v>
      </c>
      <c r="F21" s="27"/>
      <c r="G21" s="28" t="n">
        <v>4</v>
      </c>
      <c r="H21" s="28"/>
      <c r="I21" s="28"/>
    </row>
    <row r="22" customFormat="false" ht="32.25" hidden="false" customHeight="true" outlineLevel="0" collapsed="false">
      <c r="A22" s="310" t="s">
        <v>250</v>
      </c>
      <c r="B22" s="310"/>
      <c r="C22" s="310"/>
      <c r="D22" s="310"/>
      <c r="E22" s="27"/>
      <c r="F22" s="27"/>
      <c r="G22" s="28"/>
      <c r="H22" s="28"/>
      <c r="I22" s="28"/>
      <c r="L22" s="30"/>
    </row>
    <row r="23" customFormat="false" ht="15.75" hidden="false" customHeight="false" outlineLevel="0" collapsed="false">
      <c r="A23" s="31"/>
      <c r="B23" s="269"/>
      <c r="C23" s="269"/>
      <c r="D23" s="269"/>
      <c r="E23" s="269"/>
      <c r="F23" s="269"/>
      <c r="G23" s="269"/>
      <c r="H23" s="269"/>
      <c r="I23" s="269"/>
    </row>
    <row r="24" customFormat="false" ht="15.75" hidden="false" customHeight="false" outlineLevel="0" collapsed="false">
      <c r="A24" s="33" t="s">
        <v>22</v>
      </c>
      <c r="B24" s="33"/>
      <c r="C24" s="33"/>
      <c r="D24" s="33"/>
      <c r="E24" s="33"/>
      <c r="F24" s="33"/>
      <c r="G24" s="33"/>
      <c r="H24" s="33"/>
      <c r="I24" s="33"/>
    </row>
    <row r="25" customFormat="false" ht="15.75" hidden="false" customHeight="false" outlineLevel="0" collapsed="false">
      <c r="A25" s="34" t="s">
        <v>23</v>
      </c>
      <c r="B25" s="34"/>
      <c r="C25" s="34"/>
      <c r="D25" s="34"/>
      <c r="E25" s="34"/>
      <c r="F25" s="34"/>
      <c r="G25" s="34"/>
      <c r="H25" s="34"/>
      <c r="I25" s="34"/>
    </row>
    <row r="26" customFormat="false" ht="15.75" hidden="false" customHeight="false" outlineLevel="0" collapsed="false">
      <c r="A26" s="35" t="s">
        <v>24</v>
      </c>
      <c r="B26" s="35"/>
      <c r="C26" s="35"/>
      <c r="D26" s="35"/>
      <c r="E26" s="35"/>
      <c r="F26" s="35"/>
      <c r="G26" s="35"/>
      <c r="H26" s="35"/>
      <c r="I26" s="35"/>
    </row>
    <row r="27" customFormat="false" ht="15.75" hidden="false" customHeight="true" outlineLevel="0" collapsed="false">
      <c r="A27" s="14" t="n">
        <v>1</v>
      </c>
      <c r="B27" s="36" t="s">
        <v>25</v>
      </c>
      <c r="C27" s="36"/>
      <c r="D27" s="36"/>
      <c r="E27" s="36"/>
      <c r="F27" s="36"/>
      <c r="G27" s="36"/>
      <c r="H27" s="36"/>
      <c r="I27" s="266" t="s">
        <v>26</v>
      </c>
    </row>
    <row r="28" customFormat="false" ht="15.75" hidden="false" customHeight="true" outlineLevel="0" collapsed="false">
      <c r="A28" s="14" t="n">
        <v>2</v>
      </c>
      <c r="B28" s="38" t="s">
        <v>27</v>
      </c>
      <c r="C28" s="38"/>
      <c r="D28" s="38"/>
      <c r="E28" s="38"/>
      <c r="F28" s="38"/>
      <c r="G28" s="38"/>
      <c r="H28" s="38"/>
      <c r="I28" s="265" t="n">
        <f aca="false">Dados!B2</f>
        <v>1305.17</v>
      </c>
    </row>
    <row r="29" customFormat="false" ht="15.75" hidden="false" customHeight="true" outlineLevel="0" collapsed="false">
      <c r="A29" s="14" t="n">
        <v>3</v>
      </c>
      <c r="B29" s="38" t="s">
        <v>28</v>
      </c>
      <c r="C29" s="38"/>
      <c r="D29" s="38"/>
      <c r="E29" s="38"/>
      <c r="F29" s="38"/>
      <c r="G29" s="38"/>
      <c r="H29" s="38"/>
      <c r="I29" s="265" t="s">
        <v>188</v>
      </c>
    </row>
    <row r="30" customFormat="false" ht="15.75" hidden="false" customHeight="true" outlineLevel="0" collapsed="false">
      <c r="A30" s="40" t="n">
        <v>4</v>
      </c>
      <c r="B30" s="41" t="s">
        <v>29</v>
      </c>
      <c r="C30" s="41"/>
      <c r="D30" s="41"/>
      <c r="E30" s="41"/>
      <c r="F30" s="41"/>
      <c r="G30" s="41"/>
      <c r="H30" s="41"/>
      <c r="I30" s="270" t="n">
        <v>42005</v>
      </c>
    </row>
    <row r="31" customFormat="false" ht="15.75" hidden="false" customHeight="true" outlineLevel="0" collapsed="false">
      <c r="A31" s="40" t="n">
        <v>5</v>
      </c>
      <c r="B31" s="38" t="s">
        <v>30</v>
      </c>
      <c r="C31" s="38"/>
      <c r="D31" s="38"/>
      <c r="E31" s="38"/>
      <c r="F31" s="38"/>
      <c r="G31" s="38"/>
      <c r="H31" s="38"/>
      <c r="I31" s="270" t="n">
        <f aca="false">I28/220</f>
        <v>5.93259090909091</v>
      </c>
    </row>
    <row r="32" customFormat="false" ht="15.75" hidden="false" customHeight="true" outlineLevel="0" collapsed="false">
      <c r="A32" s="40" t="n">
        <v>6</v>
      </c>
      <c r="B32" s="38" t="s">
        <v>31</v>
      </c>
      <c r="C32" s="38"/>
      <c r="D32" s="38"/>
      <c r="E32" s="38"/>
      <c r="F32" s="38"/>
      <c r="G32" s="38"/>
      <c r="H32" s="38"/>
      <c r="I32" s="270" t="n">
        <f aca="false">I31*1.5</f>
        <v>8.89888636363636</v>
      </c>
    </row>
    <row r="33" customFormat="false" ht="16.5" hidden="false" customHeight="true" outlineLevel="0" collapsed="false">
      <c r="A33" s="20" t="n">
        <v>7</v>
      </c>
      <c r="B33" s="44" t="s">
        <v>32</v>
      </c>
      <c r="C33" s="44"/>
      <c r="D33" s="44"/>
      <c r="E33" s="44"/>
      <c r="F33" s="44"/>
      <c r="G33" s="44"/>
      <c r="H33" s="44"/>
      <c r="I33" s="267" t="n">
        <f aca="false">I31*0.2</f>
        <v>1.18651818181818</v>
      </c>
    </row>
    <row r="34" customFormat="false" ht="15.75" hidden="false" customHeight="false" outlineLevel="0" collapsed="false">
      <c r="A34" s="271"/>
      <c r="B34" s="271"/>
      <c r="C34" s="271"/>
      <c r="D34" s="271"/>
      <c r="E34" s="271"/>
      <c r="F34" s="271"/>
      <c r="G34" s="271"/>
      <c r="H34" s="271"/>
      <c r="I34" s="271"/>
    </row>
    <row r="35" customFormat="false" ht="15.75" hidden="false" customHeight="false" outlineLevel="0" collapsed="false">
      <c r="A35" s="47" t="s">
        <v>33</v>
      </c>
      <c r="B35" s="47"/>
      <c r="C35" s="47"/>
      <c r="D35" s="47"/>
      <c r="E35" s="47"/>
      <c r="F35" s="47"/>
      <c r="G35" s="47"/>
      <c r="H35" s="47"/>
      <c r="I35" s="47"/>
    </row>
    <row r="36" customFormat="false" ht="15.75" hidden="false" customHeight="false" outlineLevel="0" collapsed="false">
      <c r="A36" s="48" t="n">
        <v>1</v>
      </c>
      <c r="B36" s="49" t="s">
        <v>34</v>
      </c>
      <c r="C36" s="49"/>
      <c r="D36" s="49"/>
      <c r="E36" s="49"/>
      <c r="F36" s="49"/>
      <c r="G36" s="49"/>
      <c r="H36" s="49"/>
      <c r="I36" s="272" t="s">
        <v>35</v>
      </c>
      <c r="L36" s="51"/>
    </row>
    <row r="37" customFormat="false" ht="15.75" hidden="false" customHeight="false" outlineLevel="0" collapsed="false">
      <c r="A37" s="17" t="s">
        <v>8</v>
      </c>
      <c r="B37" s="52" t="s">
        <v>251</v>
      </c>
      <c r="C37" s="52"/>
      <c r="D37" s="52"/>
      <c r="E37" s="52"/>
      <c r="F37" s="52"/>
      <c r="G37" s="52"/>
      <c r="H37" s="52"/>
      <c r="I37" s="273" t="n">
        <f aca="false">ROUND((I28*2),2)</f>
        <v>2610.34</v>
      </c>
      <c r="L37" s="51"/>
    </row>
    <row r="38" customFormat="false" ht="31.5" hidden="false" customHeight="true" outlineLevel="0" collapsed="false">
      <c r="A38" s="17" t="s">
        <v>10</v>
      </c>
      <c r="B38" s="58" t="s">
        <v>252</v>
      </c>
      <c r="C38" s="58"/>
      <c r="D38" s="58"/>
      <c r="E38" s="58"/>
      <c r="F38" s="58"/>
      <c r="G38" s="58"/>
      <c r="H38" s="58"/>
      <c r="I38" s="273" t="n">
        <v>0</v>
      </c>
      <c r="L38" s="51"/>
    </row>
    <row r="39" customFormat="false" ht="32.25" hidden="false" customHeight="true" outlineLevel="0" collapsed="false">
      <c r="A39" s="17" t="s">
        <v>12</v>
      </c>
      <c r="B39" s="58" t="s">
        <v>220</v>
      </c>
      <c r="C39" s="58"/>
      <c r="D39" s="58"/>
      <c r="E39" s="58"/>
      <c r="F39" s="58"/>
      <c r="G39" s="58"/>
      <c r="H39" s="58"/>
      <c r="I39" s="273" t="n">
        <v>0</v>
      </c>
      <c r="L39" s="51"/>
    </row>
    <row r="40" customFormat="false" ht="51" hidden="false" customHeight="true" outlineLevel="0" collapsed="false">
      <c r="A40" s="17" t="s">
        <v>14</v>
      </c>
      <c r="B40" s="54" t="s">
        <v>41</v>
      </c>
      <c r="C40" s="54"/>
      <c r="D40" s="54"/>
      <c r="E40" s="54"/>
      <c r="F40" s="54"/>
      <c r="G40" s="54"/>
      <c r="H40" s="54"/>
      <c r="I40" s="273"/>
      <c r="L40" s="57"/>
    </row>
    <row r="41" customFormat="false" ht="20.25" hidden="false" customHeight="true" outlineLevel="0" collapsed="false">
      <c r="A41" s="17" t="s">
        <v>40</v>
      </c>
      <c r="B41" s="58" t="s">
        <v>43</v>
      </c>
      <c r="C41" s="58"/>
      <c r="D41" s="58"/>
      <c r="E41" s="58"/>
      <c r="F41" s="58"/>
      <c r="G41" s="58"/>
      <c r="H41" s="58"/>
      <c r="I41" s="273" t="n">
        <f aca="false">SUM(I38:I40)*0.2</f>
        <v>0</v>
      </c>
      <c r="L41" s="57"/>
    </row>
    <row r="42" customFormat="false" ht="33.75" hidden="false" customHeight="true" outlineLevel="0" collapsed="false">
      <c r="A42" s="17" t="s">
        <v>42</v>
      </c>
      <c r="B42" s="54" t="s">
        <v>211</v>
      </c>
      <c r="C42" s="54"/>
      <c r="D42" s="54"/>
      <c r="E42" s="54"/>
      <c r="F42" s="54"/>
      <c r="G42" s="54"/>
      <c r="H42" s="54"/>
      <c r="I42" s="337" t="n">
        <f aca="false">ROUND((I31*30*1.2)+(I31*(11/12)*1.2),2)</f>
        <v>220.1</v>
      </c>
      <c r="K42" s="59"/>
    </row>
    <row r="43" customFormat="false" ht="31.5" hidden="false" customHeight="true" outlineLevel="0" collapsed="false">
      <c r="A43" s="60" t="s">
        <v>44</v>
      </c>
      <c r="B43" s="60"/>
      <c r="C43" s="60"/>
      <c r="D43" s="60"/>
      <c r="E43" s="60"/>
      <c r="F43" s="60"/>
      <c r="G43" s="60"/>
      <c r="H43" s="60"/>
      <c r="I43" s="275" t="n">
        <f aca="false">SUM(I37:I41)</f>
        <v>2610.34</v>
      </c>
      <c r="K43" s="59"/>
    </row>
    <row r="44" customFormat="false" ht="18.75" hidden="false" customHeight="true" outlineLevel="0" collapsed="false">
      <c r="A44" s="47" t="s">
        <v>45</v>
      </c>
      <c r="B44" s="47"/>
      <c r="C44" s="47"/>
      <c r="D44" s="47"/>
      <c r="E44" s="47"/>
      <c r="F44" s="47"/>
      <c r="G44" s="47"/>
      <c r="H44" s="47"/>
      <c r="I44" s="47"/>
    </row>
    <row r="45" customFormat="false" ht="15.75" hidden="false" customHeight="false" outlineLevel="0" collapsed="false">
      <c r="A45" s="62" t="n">
        <v>2</v>
      </c>
      <c r="B45" s="63" t="s">
        <v>46</v>
      </c>
      <c r="C45" s="63"/>
      <c r="D45" s="63"/>
      <c r="E45" s="63"/>
      <c r="F45" s="63"/>
      <c r="G45" s="63"/>
      <c r="H45" s="63"/>
      <c r="I45" s="272" t="s">
        <v>35</v>
      </c>
    </row>
    <row r="46" customFormat="false" ht="36" hidden="false" customHeight="true" outlineLevel="0" collapsed="false">
      <c r="A46" s="64" t="s">
        <v>8</v>
      </c>
      <c r="B46" s="54" t="s">
        <v>253</v>
      </c>
      <c r="C46" s="54"/>
      <c r="D46" s="54"/>
      <c r="E46" s="54"/>
      <c r="F46" s="54"/>
      <c r="G46" s="54"/>
      <c r="H46" s="54"/>
      <c r="I46" s="276" t="n">
        <f aca="false">ROUND((2*H48*H47*15)-(0.06*I37),2)</f>
        <v>7.78</v>
      </c>
    </row>
    <row r="47" customFormat="false" ht="30.75" hidden="false" customHeight="true" outlineLevel="0" collapsed="false">
      <c r="A47" s="64"/>
      <c r="B47" s="67" t="s">
        <v>48</v>
      </c>
      <c r="C47" s="67"/>
      <c r="D47" s="67"/>
      <c r="E47" s="67"/>
      <c r="F47" s="67"/>
      <c r="G47" s="67"/>
      <c r="H47" s="278" t="n">
        <f aca="false">Dados!B13</f>
        <v>2.74</v>
      </c>
      <c r="I47" s="279"/>
      <c r="L47" s="66"/>
    </row>
    <row r="48" customFormat="false" ht="32.25" hidden="false" customHeight="true" outlineLevel="0" collapsed="false">
      <c r="A48" s="64"/>
      <c r="B48" s="69" t="s">
        <v>49</v>
      </c>
      <c r="C48" s="69"/>
      <c r="D48" s="69"/>
      <c r="E48" s="69"/>
      <c r="F48" s="69"/>
      <c r="G48" s="69"/>
      <c r="H48" s="70" t="n">
        <v>2</v>
      </c>
      <c r="I48" s="279" t="n">
        <v>0</v>
      </c>
    </row>
    <row r="49" customFormat="false" ht="19.5" hidden="false" customHeight="true" outlineLevel="0" collapsed="false">
      <c r="A49" s="64" t="s">
        <v>10</v>
      </c>
      <c r="B49" s="54" t="s">
        <v>193</v>
      </c>
      <c r="C49" s="54"/>
      <c r="D49" s="54"/>
      <c r="E49" s="54"/>
      <c r="F49" s="54"/>
      <c r="G49" s="54"/>
      <c r="H49" s="54"/>
      <c r="I49" s="279" t="n">
        <f aca="false">ROUND(((2*15*H50))*(1-0.18),2)</f>
        <v>411.56</v>
      </c>
    </row>
    <row r="50" customFormat="false" ht="15.75" hidden="false" customHeight="false" outlineLevel="0" collapsed="false">
      <c r="A50" s="64"/>
      <c r="B50" s="69" t="s">
        <v>51</v>
      </c>
      <c r="C50" s="69"/>
      <c r="D50" s="69"/>
      <c r="E50" s="69"/>
      <c r="F50" s="69"/>
      <c r="G50" s="69"/>
      <c r="H50" s="280" t="n">
        <f aca="false">Dados!B3</f>
        <v>16.73</v>
      </c>
      <c r="I50" s="281"/>
    </row>
    <row r="51" customFormat="false" ht="30.75" hidden="false" customHeight="true" outlineLevel="0" collapsed="false">
      <c r="A51" s="17" t="s">
        <v>12</v>
      </c>
      <c r="B51" s="58" t="s">
        <v>214</v>
      </c>
      <c r="C51" s="58"/>
      <c r="D51" s="58"/>
      <c r="E51" s="58"/>
      <c r="F51" s="58"/>
      <c r="G51" s="58"/>
      <c r="H51" s="58"/>
      <c r="I51" s="279" t="n">
        <f aca="false">ROUND(Dados!B5*(3),2)</f>
        <v>45.06</v>
      </c>
    </row>
    <row r="52" customFormat="false" ht="30.75" hidden="false" customHeight="true" outlineLevel="0" collapsed="false">
      <c r="A52" s="60" t="s">
        <v>53</v>
      </c>
      <c r="B52" s="60"/>
      <c r="C52" s="60"/>
      <c r="D52" s="60"/>
      <c r="E52" s="60"/>
      <c r="F52" s="60"/>
      <c r="G52" s="60"/>
      <c r="H52" s="60"/>
      <c r="I52" s="275" t="n">
        <f aca="false">SUM(I46:I51)</f>
        <v>464.4</v>
      </c>
    </row>
    <row r="53" customFormat="false" ht="15.75" hidden="false" customHeight="false" outlineLevel="0" collapsed="false">
      <c r="A53" s="73" t="s">
        <v>54</v>
      </c>
      <c r="B53" s="73"/>
      <c r="C53" s="73"/>
      <c r="D53" s="73"/>
      <c r="E53" s="73"/>
      <c r="F53" s="73"/>
      <c r="G53" s="73"/>
      <c r="H53" s="73"/>
      <c r="I53" s="73"/>
    </row>
    <row r="54" customFormat="false" ht="15.75" hidden="false" customHeight="false" outlineLevel="0" collapsed="false">
      <c r="A54" s="47" t="s">
        <v>55</v>
      </c>
      <c r="B54" s="47"/>
      <c r="C54" s="47"/>
      <c r="D54" s="47"/>
      <c r="E54" s="47"/>
      <c r="F54" s="47"/>
      <c r="G54" s="47"/>
      <c r="H54" s="47"/>
      <c r="I54" s="47"/>
    </row>
    <row r="55" customFormat="false" ht="15.75" hidden="false" customHeight="false" outlineLevel="0" collapsed="false">
      <c r="A55" s="62" t="n">
        <v>3</v>
      </c>
      <c r="B55" s="63" t="s">
        <v>56</v>
      </c>
      <c r="C55" s="63"/>
      <c r="D55" s="63"/>
      <c r="E55" s="63"/>
      <c r="F55" s="63"/>
      <c r="G55" s="63"/>
      <c r="H55" s="63"/>
      <c r="I55" s="272" t="s">
        <v>35</v>
      </c>
    </row>
    <row r="56" customFormat="false" ht="15.75" hidden="false" customHeight="false" outlineLevel="0" collapsed="false">
      <c r="A56" s="64" t="s">
        <v>8</v>
      </c>
      <c r="B56" s="74" t="s">
        <v>254</v>
      </c>
      <c r="C56" s="74"/>
      <c r="D56" s="74"/>
      <c r="E56" s="74"/>
      <c r="F56" s="74"/>
      <c r="G56" s="74"/>
      <c r="H56" s="74"/>
      <c r="I56" s="282" t="n">
        <f aca="false">Dados!D6*(3)</f>
        <v>206.514375</v>
      </c>
    </row>
    <row r="57" customFormat="false" ht="15.75" hidden="false" customHeight="false" outlineLevel="0" collapsed="false">
      <c r="A57" s="60" t="s">
        <v>58</v>
      </c>
      <c r="B57" s="60"/>
      <c r="C57" s="60"/>
      <c r="D57" s="60"/>
      <c r="E57" s="60"/>
      <c r="F57" s="60"/>
      <c r="G57" s="60"/>
      <c r="H57" s="60"/>
      <c r="I57" s="283" t="n">
        <f aca="false">SUM(I56:I56)</f>
        <v>206.514375</v>
      </c>
      <c r="J57" s="76"/>
      <c r="K57" s="77"/>
    </row>
    <row r="58" customFormat="false" ht="15.75" hidden="false" customHeight="false" outlineLevel="0" collapsed="false">
      <c r="A58" s="47" t="s">
        <v>59</v>
      </c>
      <c r="B58" s="47"/>
      <c r="C58" s="47"/>
      <c r="D58" s="47"/>
      <c r="E58" s="47"/>
      <c r="F58" s="47"/>
      <c r="G58" s="47"/>
      <c r="H58" s="47"/>
      <c r="I58" s="47"/>
    </row>
    <row r="59" customFormat="false" ht="15.75" hidden="false" customHeight="false" outlineLevel="0" collapsed="false">
      <c r="A59" s="79" t="s">
        <v>60</v>
      </c>
      <c r="B59" s="79"/>
      <c r="C59" s="79"/>
      <c r="D59" s="79"/>
      <c r="E59" s="79"/>
      <c r="F59" s="79"/>
      <c r="G59" s="79"/>
      <c r="H59" s="79"/>
      <c r="I59" s="79"/>
    </row>
    <row r="60" customFormat="false" ht="15.75" hidden="false" customHeight="false" outlineLevel="0" collapsed="false">
      <c r="A60" s="62" t="s">
        <v>61</v>
      </c>
      <c r="B60" s="80" t="s">
        <v>62</v>
      </c>
      <c r="C60" s="80"/>
      <c r="D60" s="80"/>
      <c r="E60" s="80"/>
      <c r="F60" s="80"/>
      <c r="G60" s="80"/>
      <c r="H60" s="81" t="s">
        <v>63</v>
      </c>
      <c r="I60" s="272" t="s">
        <v>35</v>
      </c>
    </row>
    <row r="61" customFormat="false" ht="15.75" hidden="false" customHeight="false" outlineLevel="0" collapsed="false">
      <c r="A61" s="82" t="s">
        <v>8</v>
      </c>
      <c r="B61" s="83" t="s">
        <v>64</v>
      </c>
      <c r="C61" s="83"/>
      <c r="D61" s="83"/>
      <c r="E61" s="83"/>
      <c r="F61" s="83"/>
      <c r="G61" s="83"/>
      <c r="H61" s="84" t="n">
        <v>0.2</v>
      </c>
      <c r="I61" s="273" t="n">
        <f aca="false">ROUND($I$43*H61,2)</f>
        <v>522.07</v>
      </c>
    </row>
    <row r="62" customFormat="false" ht="15.75" hidden="false" customHeight="false" outlineLevel="0" collapsed="false">
      <c r="A62" s="82" t="s">
        <v>10</v>
      </c>
      <c r="B62" s="83" t="s">
        <v>65</v>
      </c>
      <c r="C62" s="83"/>
      <c r="D62" s="83"/>
      <c r="E62" s="83"/>
      <c r="F62" s="83"/>
      <c r="G62" s="83"/>
      <c r="H62" s="85" t="n">
        <v>0.015</v>
      </c>
      <c r="I62" s="273" t="n">
        <f aca="false">ROUND($I$43*H62,2)</f>
        <v>39.16</v>
      </c>
      <c r="K62" s="66"/>
    </row>
    <row r="63" customFormat="false" ht="15.75" hidden="false" customHeight="false" outlineLevel="0" collapsed="false">
      <c r="A63" s="82" t="s">
        <v>12</v>
      </c>
      <c r="B63" s="83" t="s">
        <v>66</v>
      </c>
      <c r="C63" s="83"/>
      <c r="D63" s="83"/>
      <c r="E63" s="83"/>
      <c r="F63" s="83"/>
      <c r="G63" s="83"/>
      <c r="H63" s="84" t="n">
        <v>0.01</v>
      </c>
      <c r="I63" s="273" t="n">
        <f aca="false">ROUND($I$43*H63,2)</f>
        <v>26.1</v>
      </c>
      <c r="K63" s="66"/>
    </row>
    <row r="64" customFormat="false" ht="15.75" hidden="false" customHeight="false" outlineLevel="0" collapsed="false">
      <c r="A64" s="82" t="s">
        <v>14</v>
      </c>
      <c r="B64" s="83" t="s">
        <v>67</v>
      </c>
      <c r="C64" s="83"/>
      <c r="D64" s="83"/>
      <c r="E64" s="83"/>
      <c r="F64" s="83"/>
      <c r="G64" s="83"/>
      <c r="H64" s="86" t="n">
        <v>0.002</v>
      </c>
      <c r="I64" s="273" t="n">
        <f aca="false">ROUND($I$43*H64,2)</f>
        <v>5.22</v>
      </c>
      <c r="K64" s="66"/>
    </row>
    <row r="65" customFormat="false" ht="15.75" hidden="false" customHeight="false" outlineLevel="0" collapsed="false">
      <c r="A65" s="82" t="s">
        <v>40</v>
      </c>
      <c r="B65" s="83" t="s">
        <v>68</v>
      </c>
      <c r="C65" s="83"/>
      <c r="D65" s="83"/>
      <c r="E65" s="83"/>
      <c r="F65" s="83"/>
      <c r="G65" s="83"/>
      <c r="H65" s="86" t="n">
        <v>0.025</v>
      </c>
      <c r="I65" s="273" t="n">
        <f aca="false">ROUND($I$43*H65,2)</f>
        <v>65.26</v>
      </c>
      <c r="K65" s="66"/>
    </row>
    <row r="66" customFormat="false" ht="15.75" hidden="false" customHeight="false" outlineLevel="0" collapsed="false">
      <c r="A66" s="82" t="s">
        <v>42</v>
      </c>
      <c r="B66" s="83" t="s">
        <v>69</v>
      </c>
      <c r="C66" s="83"/>
      <c r="D66" s="83"/>
      <c r="E66" s="83"/>
      <c r="F66" s="83"/>
      <c r="G66" s="83"/>
      <c r="H66" s="84" t="n">
        <v>0.08</v>
      </c>
      <c r="I66" s="273" t="n">
        <f aca="false">ROUND($I$43*H66,2)</f>
        <v>208.83</v>
      </c>
      <c r="K66" s="66"/>
    </row>
    <row r="67" customFormat="false" ht="15.75" hidden="false" customHeight="false" outlineLevel="0" collapsed="false">
      <c r="A67" s="82" t="s">
        <v>70</v>
      </c>
      <c r="B67" s="87" t="s">
        <v>71</v>
      </c>
      <c r="C67" s="87"/>
      <c r="D67" s="87"/>
      <c r="E67" s="87"/>
      <c r="F67" s="88" t="s">
        <v>72</v>
      </c>
      <c r="G67" s="89" t="s">
        <v>196</v>
      </c>
      <c r="H67" s="86" t="n">
        <v>0.015</v>
      </c>
      <c r="I67" s="273" t="n">
        <f aca="false">ROUND($I$43*H67,2)</f>
        <v>39.16</v>
      </c>
      <c r="K67" s="66"/>
    </row>
    <row r="68" customFormat="false" ht="15.75" hidden="false" customHeight="false" outlineLevel="0" collapsed="false">
      <c r="A68" s="82" t="s">
        <v>74</v>
      </c>
      <c r="B68" s="83" t="s">
        <v>75</v>
      </c>
      <c r="C68" s="83"/>
      <c r="D68" s="83"/>
      <c r="E68" s="83"/>
      <c r="F68" s="83"/>
      <c r="G68" s="83"/>
      <c r="H68" s="86" t="n">
        <v>0.006</v>
      </c>
      <c r="I68" s="273" t="n">
        <f aca="false">ROUND($I$43*H68,2)</f>
        <v>15.66</v>
      </c>
      <c r="K68" s="66"/>
    </row>
    <row r="69" customFormat="false" ht="15.75" hidden="false" customHeight="false" outlineLevel="0" collapsed="false">
      <c r="A69" s="90" t="s">
        <v>76</v>
      </c>
      <c r="B69" s="90"/>
      <c r="C69" s="90"/>
      <c r="D69" s="90"/>
      <c r="E69" s="90"/>
      <c r="F69" s="90"/>
      <c r="G69" s="90"/>
      <c r="H69" s="91" t="n">
        <f aca="false">SUM(H61:H68)</f>
        <v>0.353</v>
      </c>
      <c r="I69" s="284" t="n">
        <f aca="false">SUM(I61:I68)</f>
        <v>921.46</v>
      </c>
      <c r="K69" s="66"/>
    </row>
    <row r="70" customFormat="false" ht="15.75" hidden="false" customHeight="false" outlineLevel="0" collapsed="false">
      <c r="A70" s="93" t="s">
        <v>77</v>
      </c>
      <c r="B70" s="93"/>
      <c r="C70" s="93"/>
      <c r="D70" s="93"/>
      <c r="E70" s="93"/>
      <c r="F70" s="93"/>
      <c r="G70" s="93"/>
      <c r="H70" s="93"/>
      <c r="I70" s="93"/>
      <c r="K70" s="66"/>
    </row>
    <row r="71" customFormat="false" ht="15.75" hidden="false" customHeight="false" outlineLevel="0" collapsed="false">
      <c r="A71" s="94" t="s">
        <v>78</v>
      </c>
      <c r="B71" s="94"/>
      <c r="C71" s="94"/>
      <c r="D71" s="94"/>
      <c r="E71" s="94"/>
      <c r="F71" s="94"/>
      <c r="G71" s="94"/>
      <c r="H71" s="94"/>
      <c r="I71" s="94"/>
    </row>
    <row r="72" customFormat="false" ht="15.75" hidden="false" customHeight="false" outlineLevel="0" collapsed="false">
      <c r="A72" s="79" t="s">
        <v>79</v>
      </c>
      <c r="B72" s="79"/>
      <c r="C72" s="79"/>
      <c r="D72" s="79"/>
      <c r="E72" s="79"/>
      <c r="F72" s="79"/>
      <c r="G72" s="79"/>
      <c r="H72" s="79"/>
      <c r="I72" s="79"/>
    </row>
    <row r="73" customFormat="false" ht="15.75" hidden="false" customHeight="false" outlineLevel="0" collapsed="false">
      <c r="A73" s="62" t="s">
        <v>80</v>
      </c>
      <c r="B73" s="81" t="s">
        <v>81</v>
      </c>
      <c r="C73" s="81"/>
      <c r="D73" s="81"/>
      <c r="E73" s="81"/>
      <c r="F73" s="81"/>
      <c r="G73" s="81"/>
      <c r="H73" s="81"/>
      <c r="I73" s="272" t="s">
        <v>35</v>
      </c>
    </row>
    <row r="74" customFormat="false" ht="37.5" hidden="false" customHeight="true" outlineLevel="0" collapsed="false">
      <c r="A74" s="17" t="s">
        <v>8</v>
      </c>
      <c r="B74" s="95" t="s">
        <v>82</v>
      </c>
      <c r="C74" s="95"/>
      <c r="D74" s="95"/>
      <c r="E74" s="95"/>
      <c r="F74" s="95"/>
      <c r="G74" s="95"/>
      <c r="H74" s="95"/>
      <c r="I74" s="285" t="n">
        <f aca="false">ROUND(I43/12,2)</f>
        <v>217.53</v>
      </c>
    </row>
    <row r="75" customFormat="false" ht="17.25" hidden="false" customHeight="true" outlineLevel="0" collapsed="false">
      <c r="A75" s="97" t="s">
        <v>83</v>
      </c>
      <c r="B75" s="97"/>
      <c r="C75" s="97"/>
      <c r="D75" s="97"/>
      <c r="E75" s="97"/>
      <c r="F75" s="97"/>
      <c r="G75" s="97"/>
      <c r="H75" s="97"/>
      <c r="I75" s="273" t="n">
        <f aca="false">SUM(I74:I74)</f>
        <v>217.53</v>
      </c>
      <c r="K75" s="66"/>
    </row>
    <row r="76" customFormat="false" ht="15.75" hidden="false" customHeight="false" outlineLevel="0" collapsed="false">
      <c r="A76" s="17" t="s">
        <v>10</v>
      </c>
      <c r="B76" s="83" t="s">
        <v>84</v>
      </c>
      <c r="C76" s="83"/>
      <c r="D76" s="83"/>
      <c r="E76" s="83"/>
      <c r="F76" s="83"/>
      <c r="G76" s="83"/>
      <c r="H76" s="83"/>
      <c r="I76" s="273" t="n">
        <f aca="false">ROUND(I75*H69,2)</f>
        <v>76.79</v>
      </c>
      <c r="K76" s="66"/>
    </row>
    <row r="77" customFormat="false" ht="15.75" hidden="false" customHeight="false" outlineLevel="0" collapsed="false">
      <c r="A77" s="60" t="s">
        <v>76</v>
      </c>
      <c r="B77" s="60"/>
      <c r="C77" s="60"/>
      <c r="D77" s="60"/>
      <c r="E77" s="60"/>
      <c r="F77" s="60"/>
      <c r="G77" s="60"/>
      <c r="H77" s="60"/>
      <c r="I77" s="275" t="n">
        <f aca="false">SUM(I75:I76)</f>
        <v>294.32</v>
      </c>
      <c r="K77" s="66"/>
    </row>
    <row r="78" customFormat="false" ht="15.75" hidden="false" customHeight="false" outlineLevel="0" collapsed="false">
      <c r="A78" s="79" t="s">
        <v>85</v>
      </c>
      <c r="B78" s="79"/>
      <c r="C78" s="79"/>
      <c r="D78" s="79"/>
      <c r="E78" s="79"/>
      <c r="F78" s="79"/>
      <c r="G78" s="79"/>
      <c r="H78" s="79"/>
      <c r="I78" s="79"/>
      <c r="K78" s="66"/>
    </row>
    <row r="79" customFormat="false" ht="15.75" hidden="false" customHeight="false" outlineLevel="0" collapsed="false">
      <c r="A79" s="62" t="s">
        <v>86</v>
      </c>
      <c r="B79" s="81" t="s">
        <v>87</v>
      </c>
      <c r="C79" s="81"/>
      <c r="D79" s="81"/>
      <c r="E79" s="81"/>
      <c r="F79" s="81"/>
      <c r="G79" s="81"/>
      <c r="H79" s="81"/>
      <c r="I79" s="272" t="s">
        <v>35</v>
      </c>
    </row>
    <row r="80" customFormat="false" ht="15.75" hidden="false" customHeight="false" outlineLevel="0" collapsed="false">
      <c r="A80" s="17" t="s">
        <v>8</v>
      </c>
      <c r="B80" s="52" t="s">
        <v>88</v>
      </c>
      <c r="C80" s="52"/>
      <c r="D80" s="52"/>
      <c r="E80" s="52"/>
      <c r="F80" s="52"/>
      <c r="G80" s="52"/>
      <c r="H80" s="52"/>
      <c r="I80" s="282" t="n">
        <f aca="false">ROUND((((I43+I43/3)*(4/12))/12)*0.02,2)</f>
        <v>1.93</v>
      </c>
    </row>
    <row r="81" customFormat="false" ht="15.75" hidden="false" customHeight="false" outlineLevel="0" collapsed="false">
      <c r="A81" s="17" t="s">
        <v>10</v>
      </c>
      <c r="B81" s="83" t="s">
        <v>89</v>
      </c>
      <c r="C81" s="83"/>
      <c r="D81" s="83"/>
      <c r="E81" s="83"/>
      <c r="F81" s="83"/>
      <c r="G81" s="83"/>
      <c r="H81" s="83"/>
      <c r="I81" s="282" t="n">
        <f aca="false">ROUND(I80*H69,2)</f>
        <v>0.68</v>
      </c>
    </row>
    <row r="82" customFormat="false" ht="15.75" hidden="false" customHeight="false" outlineLevel="0" collapsed="false">
      <c r="A82" s="60" t="s">
        <v>76</v>
      </c>
      <c r="B82" s="60"/>
      <c r="C82" s="60"/>
      <c r="D82" s="60"/>
      <c r="E82" s="60"/>
      <c r="F82" s="60"/>
      <c r="G82" s="60"/>
      <c r="H82" s="60"/>
      <c r="I82" s="275" t="n">
        <f aca="false">SUM(I80:I81)</f>
        <v>2.61</v>
      </c>
    </row>
    <row r="83" customFormat="false" ht="15.75" hidden="false" customHeight="false" outlineLevel="0" collapsed="false">
      <c r="A83" s="79" t="s">
        <v>90</v>
      </c>
      <c r="B83" s="79"/>
      <c r="C83" s="79"/>
      <c r="D83" s="79"/>
      <c r="E83" s="79"/>
      <c r="F83" s="79"/>
      <c r="G83" s="79"/>
      <c r="H83" s="79"/>
      <c r="I83" s="79"/>
    </row>
    <row r="84" customFormat="false" ht="15.75" hidden="false" customHeight="false" outlineLevel="0" collapsed="false">
      <c r="A84" s="62" t="s">
        <v>91</v>
      </c>
      <c r="B84" s="81" t="s">
        <v>92</v>
      </c>
      <c r="C84" s="81"/>
      <c r="D84" s="81"/>
      <c r="E84" s="81"/>
      <c r="F84" s="81"/>
      <c r="G84" s="81"/>
      <c r="H84" s="81"/>
      <c r="I84" s="272" t="s">
        <v>35</v>
      </c>
    </row>
    <row r="85" customFormat="false" ht="15.75" hidden="false" customHeight="true" outlineLevel="0" collapsed="false">
      <c r="A85" s="17" t="s">
        <v>8</v>
      </c>
      <c r="B85" s="99" t="s">
        <v>93</v>
      </c>
      <c r="C85" s="99"/>
      <c r="D85" s="99"/>
      <c r="E85" s="99"/>
      <c r="F85" s="99"/>
      <c r="G85" s="99"/>
      <c r="H85" s="99"/>
      <c r="I85" s="273" t="n">
        <f aca="false">ROUND((I43/12)*(30/30)*0.05,2)</f>
        <v>10.88</v>
      </c>
    </row>
    <row r="86" customFormat="false" ht="25.5" hidden="false" customHeight="true" outlineLevel="0" collapsed="false">
      <c r="A86" s="17" t="s">
        <v>10</v>
      </c>
      <c r="B86" s="83" t="s">
        <v>94</v>
      </c>
      <c r="C86" s="83"/>
      <c r="D86" s="83"/>
      <c r="E86" s="83"/>
      <c r="F86" s="83"/>
      <c r="G86" s="83"/>
      <c r="H86" s="83"/>
      <c r="I86" s="273" t="n">
        <f aca="false">ROUND(I85*H66,2)</f>
        <v>0.87</v>
      </c>
    </row>
    <row r="87" customFormat="false" ht="47.25" hidden="false" customHeight="true" outlineLevel="0" collapsed="false">
      <c r="A87" s="17" t="s">
        <v>12</v>
      </c>
      <c r="B87" s="95" t="s">
        <v>95</v>
      </c>
      <c r="C87" s="95"/>
      <c r="D87" s="95"/>
      <c r="E87" s="95"/>
      <c r="F87" s="95"/>
      <c r="G87" s="95"/>
      <c r="H87" s="95"/>
      <c r="I87" s="285" t="n">
        <f aca="false">ROUND(0.0024*I43,2)</f>
        <v>6.26</v>
      </c>
    </row>
    <row r="88" customFormat="false" ht="28.5" hidden="false" customHeight="true" outlineLevel="0" collapsed="false">
      <c r="A88" s="100" t="s">
        <v>14</v>
      </c>
      <c r="B88" s="99" t="s">
        <v>96</v>
      </c>
      <c r="C88" s="99"/>
      <c r="D88" s="99"/>
      <c r="E88" s="99"/>
      <c r="F88" s="99"/>
      <c r="G88" s="99"/>
      <c r="H88" s="99"/>
      <c r="I88" s="273" t="n">
        <f aca="false">ROUND((((I43/2)/30)*7)/12,2)/2</f>
        <v>12.69</v>
      </c>
      <c r="K88" s="66"/>
    </row>
    <row r="89" customFormat="false" ht="15.75" hidden="false" customHeight="true" outlineLevel="0" collapsed="false">
      <c r="A89" s="17" t="s">
        <v>40</v>
      </c>
      <c r="B89" s="83" t="s">
        <v>97</v>
      </c>
      <c r="C89" s="83"/>
      <c r="D89" s="83"/>
      <c r="E89" s="83"/>
      <c r="F89" s="83"/>
      <c r="G89" s="83"/>
      <c r="H89" s="83"/>
      <c r="I89" s="273" t="n">
        <f aca="false">ROUND(I88*H69,2)</f>
        <v>4.48</v>
      </c>
      <c r="N89" s="101"/>
    </row>
    <row r="90" customFormat="false" ht="47.25" hidden="false" customHeight="true" outlineLevel="0" collapsed="false">
      <c r="A90" s="17" t="s">
        <v>42</v>
      </c>
      <c r="B90" s="95" t="s">
        <v>98</v>
      </c>
      <c r="C90" s="95"/>
      <c r="D90" s="95"/>
      <c r="E90" s="95"/>
      <c r="F90" s="95"/>
      <c r="G90" s="95"/>
      <c r="H90" s="95"/>
      <c r="I90" s="285" t="n">
        <f aca="false">ROUND(0.0476*I43,2)</f>
        <v>124.25</v>
      </c>
      <c r="J90" s="13"/>
      <c r="K90" s="13"/>
      <c r="L90" s="102"/>
    </row>
    <row r="91" customFormat="false" ht="20.25" hidden="false" customHeight="true" outlineLevel="0" collapsed="false">
      <c r="A91" s="60" t="s">
        <v>76</v>
      </c>
      <c r="B91" s="60"/>
      <c r="C91" s="60"/>
      <c r="D91" s="60"/>
      <c r="E91" s="60"/>
      <c r="F91" s="60"/>
      <c r="G91" s="60"/>
      <c r="H91" s="60"/>
      <c r="I91" s="275" t="n">
        <f aca="false">SUM(I85:I90)</f>
        <v>159.43</v>
      </c>
      <c r="J91" s="13"/>
      <c r="K91" s="66"/>
      <c r="L91" s="13"/>
    </row>
    <row r="92" customFormat="false" ht="20.25" hidden="false" customHeight="true" outlineLevel="0" collapsed="false">
      <c r="A92" s="79" t="s">
        <v>99</v>
      </c>
      <c r="B92" s="79"/>
      <c r="C92" s="79"/>
      <c r="D92" s="79"/>
      <c r="E92" s="79"/>
      <c r="F92" s="79"/>
      <c r="G92" s="79"/>
      <c r="H92" s="79"/>
      <c r="I92" s="79"/>
    </row>
    <row r="93" customFormat="false" ht="20.25" hidden="false" customHeight="true" outlineLevel="0" collapsed="false">
      <c r="A93" s="62" t="s">
        <v>100</v>
      </c>
      <c r="B93" s="81" t="s">
        <v>101</v>
      </c>
      <c r="C93" s="81"/>
      <c r="D93" s="81"/>
      <c r="E93" s="81"/>
      <c r="F93" s="81"/>
      <c r="G93" s="81"/>
      <c r="H93" s="81"/>
      <c r="I93" s="272" t="s">
        <v>35</v>
      </c>
    </row>
    <row r="94" customFormat="false" ht="15.75" hidden="false" customHeight="true" outlineLevel="0" collapsed="false">
      <c r="A94" s="17" t="s">
        <v>8</v>
      </c>
      <c r="B94" s="95" t="s">
        <v>102</v>
      </c>
      <c r="C94" s="95"/>
      <c r="D94" s="95"/>
      <c r="E94" s="95"/>
      <c r="F94" s="95"/>
      <c r="G94" s="95"/>
      <c r="H94" s="95"/>
      <c r="I94" s="285" t="n">
        <f aca="false">ROUND(0.121*I43,2)</f>
        <v>315.85</v>
      </c>
    </row>
    <row r="95" customFormat="false" ht="16.5" hidden="false" customHeight="true" outlineLevel="0" collapsed="false">
      <c r="A95" s="17" t="s">
        <v>10</v>
      </c>
      <c r="B95" s="52" t="s">
        <v>103</v>
      </c>
      <c r="C95" s="52"/>
      <c r="D95" s="52"/>
      <c r="E95" s="52"/>
      <c r="F95" s="52"/>
      <c r="G95" s="52"/>
      <c r="H95" s="52"/>
      <c r="I95" s="273" t="n">
        <f aca="false">ROUND(((I43/30)*5)/12,2)</f>
        <v>36.25</v>
      </c>
      <c r="K95" s="66"/>
    </row>
    <row r="96" customFormat="false" ht="17.25" hidden="false" customHeight="true" outlineLevel="0" collapsed="false">
      <c r="A96" s="17" t="s">
        <v>12</v>
      </c>
      <c r="B96" s="52" t="s">
        <v>104</v>
      </c>
      <c r="C96" s="52"/>
      <c r="D96" s="52"/>
      <c r="E96" s="52"/>
      <c r="F96" s="52"/>
      <c r="G96" s="52"/>
      <c r="H96" s="52"/>
      <c r="I96" s="273" t="n">
        <f aca="false">ROUND((((I43/30)*5)/12)*0.015,2)</f>
        <v>0.54</v>
      </c>
    </row>
    <row r="97" customFormat="false" ht="16.5" hidden="false" customHeight="true" outlineLevel="0" collapsed="false">
      <c r="A97" s="17" t="s">
        <v>14</v>
      </c>
      <c r="B97" s="52" t="s">
        <v>105</v>
      </c>
      <c r="C97" s="52"/>
      <c r="D97" s="52"/>
      <c r="E97" s="52"/>
      <c r="F97" s="52"/>
      <c r="G97" s="52"/>
      <c r="H97" s="52"/>
      <c r="I97" s="273" t="n">
        <f aca="false">ROUND(((I43/30)*2.96)/12,2)</f>
        <v>21.46</v>
      </c>
    </row>
    <row r="98" customFormat="false" ht="17.25" hidden="false" customHeight="true" outlineLevel="0" collapsed="false">
      <c r="A98" s="17" t="s">
        <v>40</v>
      </c>
      <c r="B98" s="52" t="s">
        <v>106</v>
      </c>
      <c r="C98" s="52"/>
      <c r="D98" s="52"/>
      <c r="E98" s="52"/>
      <c r="F98" s="52"/>
      <c r="G98" s="52"/>
      <c r="H98" s="52"/>
      <c r="I98" s="273" t="n">
        <f aca="false">ROUND((((I43/30)*15)/12)*0.0078,2)</f>
        <v>0.85</v>
      </c>
    </row>
    <row r="99" customFormat="false" ht="16.5" hidden="false" customHeight="true" outlineLevel="0" collapsed="false">
      <c r="A99" s="97" t="s">
        <v>83</v>
      </c>
      <c r="B99" s="97"/>
      <c r="C99" s="97"/>
      <c r="D99" s="97"/>
      <c r="E99" s="97"/>
      <c r="F99" s="97"/>
      <c r="G99" s="97"/>
      <c r="H99" s="97"/>
      <c r="I99" s="281" t="n">
        <f aca="false">SUM(I94:I98)</f>
        <v>374.95</v>
      </c>
    </row>
    <row r="100" customFormat="false" ht="15.75" hidden="false" customHeight="false" outlineLevel="0" collapsed="false">
      <c r="A100" s="17" t="s">
        <v>70</v>
      </c>
      <c r="B100" s="83" t="s">
        <v>107</v>
      </c>
      <c r="C100" s="83"/>
      <c r="D100" s="83"/>
      <c r="E100" s="83"/>
      <c r="F100" s="83"/>
      <c r="G100" s="83"/>
      <c r="H100" s="83"/>
      <c r="I100" s="286" t="n">
        <f aca="false">ROUND(I99*H69,2)</f>
        <v>132.36</v>
      </c>
      <c r="K100" s="66"/>
    </row>
    <row r="101" customFormat="false" ht="15.75" hidden="false" customHeight="false" outlineLevel="0" collapsed="false">
      <c r="A101" s="60" t="s">
        <v>76</v>
      </c>
      <c r="B101" s="60"/>
      <c r="C101" s="60"/>
      <c r="D101" s="60"/>
      <c r="E101" s="60"/>
      <c r="F101" s="60"/>
      <c r="G101" s="60"/>
      <c r="H101" s="60"/>
      <c r="I101" s="275" t="n">
        <f aca="false">SUM(I99+I100)</f>
        <v>507.31</v>
      </c>
      <c r="K101" s="66"/>
    </row>
    <row r="102" customFormat="false" ht="15.75" hidden="false" customHeight="false" outlineLevel="0" collapsed="false">
      <c r="A102" s="104" t="s">
        <v>108</v>
      </c>
      <c r="B102" s="104"/>
      <c r="C102" s="104"/>
      <c r="D102" s="104"/>
      <c r="E102" s="104"/>
      <c r="F102" s="104"/>
      <c r="G102" s="104"/>
      <c r="H102" s="104"/>
      <c r="I102" s="104"/>
      <c r="K102" s="66"/>
    </row>
    <row r="103" customFormat="false" ht="15.75" hidden="false" customHeight="false" outlineLevel="0" collapsed="false">
      <c r="A103" s="62" t="n">
        <v>4</v>
      </c>
      <c r="B103" s="81" t="s">
        <v>109</v>
      </c>
      <c r="C103" s="81"/>
      <c r="D103" s="81"/>
      <c r="E103" s="81"/>
      <c r="F103" s="81"/>
      <c r="G103" s="81"/>
      <c r="H103" s="81"/>
      <c r="I103" s="272" t="s">
        <v>35</v>
      </c>
    </row>
    <row r="104" customFormat="false" ht="15.75" hidden="false" customHeight="false" outlineLevel="0" collapsed="false">
      <c r="A104" s="17" t="s">
        <v>61</v>
      </c>
      <c r="B104" s="83" t="s">
        <v>62</v>
      </c>
      <c r="C104" s="83"/>
      <c r="D104" s="83"/>
      <c r="E104" s="83"/>
      <c r="F104" s="83"/>
      <c r="G104" s="83"/>
      <c r="H104" s="83"/>
      <c r="I104" s="282" t="n">
        <f aca="false">I69</f>
        <v>921.46</v>
      </c>
    </row>
    <row r="105" customFormat="false" ht="15.75" hidden="false" customHeight="false" outlineLevel="0" collapsed="false">
      <c r="A105" s="17" t="s">
        <v>80</v>
      </c>
      <c r="B105" s="83" t="s">
        <v>110</v>
      </c>
      <c r="C105" s="83"/>
      <c r="D105" s="83"/>
      <c r="E105" s="83"/>
      <c r="F105" s="83"/>
      <c r="G105" s="83"/>
      <c r="H105" s="83"/>
      <c r="I105" s="282" t="n">
        <f aca="false">I77</f>
        <v>294.32</v>
      </c>
    </row>
    <row r="106" customFormat="false" ht="15.75" hidden="false" customHeight="false" outlineLevel="0" collapsed="false">
      <c r="A106" s="17" t="s">
        <v>86</v>
      </c>
      <c r="B106" s="83" t="s">
        <v>87</v>
      </c>
      <c r="C106" s="83"/>
      <c r="D106" s="83"/>
      <c r="E106" s="83"/>
      <c r="F106" s="83"/>
      <c r="G106" s="83"/>
      <c r="H106" s="83"/>
      <c r="I106" s="282" t="n">
        <f aca="false">I82</f>
        <v>2.61</v>
      </c>
    </row>
    <row r="107" customFormat="false" ht="15.75" hidden="false" customHeight="false" outlineLevel="0" collapsed="false">
      <c r="A107" s="17" t="s">
        <v>91</v>
      </c>
      <c r="B107" s="83" t="s">
        <v>111</v>
      </c>
      <c r="C107" s="83"/>
      <c r="D107" s="83"/>
      <c r="E107" s="83"/>
      <c r="F107" s="83"/>
      <c r="G107" s="83"/>
      <c r="H107" s="83"/>
      <c r="I107" s="282" t="n">
        <f aca="false">I91</f>
        <v>159.43</v>
      </c>
    </row>
    <row r="108" customFormat="false" ht="15.75" hidden="false" customHeight="false" outlineLevel="0" collapsed="false">
      <c r="A108" s="17" t="s">
        <v>100</v>
      </c>
      <c r="B108" s="83" t="s">
        <v>112</v>
      </c>
      <c r="C108" s="83"/>
      <c r="D108" s="83"/>
      <c r="E108" s="83"/>
      <c r="F108" s="83"/>
      <c r="G108" s="83"/>
      <c r="H108" s="83"/>
      <c r="I108" s="282" t="n">
        <f aca="false">I101</f>
        <v>507.31</v>
      </c>
    </row>
    <row r="109" customFormat="false" ht="15.75" hidden="false" customHeight="false" outlineLevel="0" collapsed="false">
      <c r="A109" s="60" t="s">
        <v>76</v>
      </c>
      <c r="B109" s="60"/>
      <c r="C109" s="60"/>
      <c r="D109" s="60"/>
      <c r="E109" s="60"/>
      <c r="F109" s="60"/>
      <c r="G109" s="60"/>
      <c r="H109" s="60"/>
      <c r="I109" s="275" t="n">
        <f aca="false">SUM(I104:I108)</f>
        <v>1885.13</v>
      </c>
    </row>
    <row r="110" customFormat="false" ht="16.5" hidden="false" customHeight="true" outlineLevel="0" collapsed="false">
      <c r="A110" s="107" t="s">
        <v>113</v>
      </c>
      <c r="B110" s="107"/>
      <c r="C110" s="107"/>
      <c r="D110" s="107"/>
      <c r="E110" s="107"/>
      <c r="F110" s="107"/>
      <c r="G110" s="107"/>
      <c r="H110" s="107"/>
      <c r="I110" s="107"/>
      <c r="K110" s="106"/>
    </row>
    <row r="111" customFormat="false" ht="15.75" hidden="false" customHeight="false" outlineLevel="0" collapsed="false">
      <c r="A111" s="62" t="n">
        <v>5</v>
      </c>
      <c r="B111" s="63" t="s">
        <v>114</v>
      </c>
      <c r="C111" s="63"/>
      <c r="D111" s="63"/>
      <c r="E111" s="63"/>
      <c r="F111" s="63"/>
      <c r="G111" s="63"/>
      <c r="H111" s="108" t="s">
        <v>63</v>
      </c>
      <c r="I111" s="272" t="s">
        <v>35</v>
      </c>
    </row>
    <row r="112" customFormat="false" ht="51.75" hidden="false" customHeight="true" outlineLevel="0" collapsed="false">
      <c r="A112" s="109" t="s">
        <v>115</v>
      </c>
      <c r="B112" s="109"/>
      <c r="C112" s="109"/>
      <c r="D112" s="109"/>
      <c r="E112" s="109"/>
      <c r="F112" s="109"/>
      <c r="G112" s="109"/>
      <c r="H112" s="110" t="n">
        <v>0</v>
      </c>
      <c r="I112" s="287" t="n">
        <f aca="false">(I43+I52+I57+I109)</f>
        <v>5166.384375</v>
      </c>
    </row>
    <row r="113" customFormat="false" ht="15.75" hidden="false" customHeight="true" outlineLevel="0" collapsed="false">
      <c r="A113" s="17" t="s">
        <v>8</v>
      </c>
      <c r="B113" s="83" t="s">
        <v>116</v>
      </c>
      <c r="C113" s="83"/>
      <c r="D113" s="83"/>
      <c r="E113" s="83"/>
      <c r="F113" s="83"/>
      <c r="G113" s="83"/>
      <c r="H113" s="112" t="n">
        <f aca="false">'Dom Pedrito 4.2'!H110</f>
        <v>0.1207</v>
      </c>
      <c r="I113" s="273" t="n">
        <f aca="false">ROUND(I112*H113,2)</f>
        <v>623.58</v>
      </c>
    </row>
    <row r="114" customFormat="false" ht="47.25" hidden="false" customHeight="true" outlineLevel="0" collapsed="false">
      <c r="A114" s="109" t="s">
        <v>117</v>
      </c>
      <c r="B114" s="109"/>
      <c r="C114" s="109"/>
      <c r="D114" s="109"/>
      <c r="E114" s="109"/>
      <c r="F114" s="109"/>
      <c r="G114" s="109"/>
      <c r="H114" s="114" t="n">
        <v>0</v>
      </c>
      <c r="I114" s="288" t="n">
        <f aca="false">I112+I113</f>
        <v>5789.964375</v>
      </c>
      <c r="J114" s="113"/>
    </row>
    <row r="115" customFormat="false" ht="14.25" hidden="false" customHeight="true" outlineLevel="0" collapsed="false">
      <c r="A115" s="17" t="s">
        <v>10</v>
      </c>
      <c r="B115" s="83" t="s">
        <v>118</v>
      </c>
      <c r="C115" s="83"/>
      <c r="D115" s="83"/>
      <c r="E115" s="83"/>
      <c r="F115" s="83"/>
      <c r="G115" s="83"/>
      <c r="H115" s="112" t="n">
        <f aca="false">'Dom Pedrito 4.2'!H112</f>
        <v>0.0818</v>
      </c>
      <c r="I115" s="273" t="n">
        <f aca="false">ROUND(I114*H115,2)</f>
        <v>473.62</v>
      </c>
      <c r="J115" s="113"/>
    </row>
    <row r="116" customFormat="false" ht="49.5" hidden="false" customHeight="true" outlineLevel="0" collapsed="false">
      <c r="A116" s="109" t="s">
        <v>119</v>
      </c>
      <c r="B116" s="109"/>
      <c r="C116" s="109"/>
      <c r="D116" s="109"/>
      <c r="E116" s="109"/>
      <c r="F116" s="109"/>
      <c r="G116" s="109"/>
      <c r="H116" s="117" t="n">
        <v>0</v>
      </c>
      <c r="I116" s="289" t="n">
        <f aca="false">I114+I115</f>
        <v>6263.584375</v>
      </c>
      <c r="J116" s="116"/>
    </row>
    <row r="117" customFormat="false" ht="18" hidden="false" customHeight="true" outlineLevel="0" collapsed="false">
      <c r="A117" s="17" t="s">
        <v>12</v>
      </c>
      <c r="B117" s="83" t="s">
        <v>120</v>
      </c>
      <c r="C117" s="83"/>
      <c r="D117" s="83"/>
      <c r="E117" s="83"/>
      <c r="F117" s="83"/>
      <c r="G117" s="83"/>
      <c r="H117" s="119" t="s">
        <v>198</v>
      </c>
      <c r="I117" s="290" t="s">
        <v>198</v>
      </c>
      <c r="J117" s="116"/>
    </row>
    <row r="118" customFormat="false" ht="15.75" hidden="false" customHeight="false" outlineLevel="0" collapsed="false">
      <c r="A118" s="17"/>
      <c r="B118" s="83" t="s">
        <v>121</v>
      </c>
      <c r="C118" s="83"/>
      <c r="D118" s="83"/>
      <c r="E118" s="83"/>
      <c r="F118" s="83"/>
      <c r="G118" s="83"/>
      <c r="H118" s="119" t="s">
        <v>198</v>
      </c>
      <c r="I118" s="290" t="s">
        <v>198</v>
      </c>
      <c r="J118" s="116"/>
    </row>
    <row r="119" customFormat="false" ht="29.25" hidden="false" customHeight="true" outlineLevel="0" collapsed="false">
      <c r="A119" s="17"/>
      <c r="B119" s="67" t="s">
        <v>199</v>
      </c>
      <c r="C119" s="67"/>
      <c r="D119" s="67"/>
      <c r="E119" s="67"/>
      <c r="F119" s="67"/>
      <c r="G119" s="67"/>
      <c r="H119" s="121" t="n">
        <v>0.03</v>
      </c>
      <c r="I119" s="273" t="n">
        <f aca="false">ROUND(($I$116/(1-H126))*H119,2)</f>
        <v>201.29</v>
      </c>
    </row>
    <row r="120" customFormat="false" ht="19.5" hidden="false" customHeight="true" outlineLevel="0" collapsed="false">
      <c r="A120" s="17"/>
      <c r="B120" s="67" t="s">
        <v>200</v>
      </c>
      <c r="C120" s="67"/>
      <c r="D120" s="67"/>
      <c r="E120" s="67"/>
      <c r="F120" s="67"/>
      <c r="G120" s="67"/>
      <c r="H120" s="121" t="n">
        <v>0.0065</v>
      </c>
      <c r="I120" s="273" t="n">
        <f aca="false">ROUND(($I$116/(1-H126))*H120,2)</f>
        <v>43.61</v>
      </c>
    </row>
    <row r="121" customFormat="false" ht="33" hidden="false" customHeight="true" outlineLevel="0" collapsed="false">
      <c r="A121" s="17"/>
      <c r="B121" s="122" t="s">
        <v>124</v>
      </c>
      <c r="C121" s="122"/>
      <c r="D121" s="122"/>
      <c r="E121" s="122"/>
      <c r="F121" s="122"/>
      <c r="G121" s="122"/>
      <c r="H121" s="121" t="s">
        <v>198</v>
      </c>
      <c r="I121" s="290" t="s">
        <v>198</v>
      </c>
      <c r="K121" s="66"/>
    </row>
    <row r="122" customFormat="false" ht="15.75" hidden="false" customHeight="true" outlineLevel="0" collapsed="false">
      <c r="A122" s="17"/>
      <c r="B122" s="83" t="s">
        <v>125</v>
      </c>
      <c r="C122" s="83"/>
      <c r="D122" s="83"/>
      <c r="E122" s="83"/>
      <c r="F122" s="83"/>
      <c r="G122" s="83"/>
      <c r="H122" s="119" t="s">
        <v>198</v>
      </c>
      <c r="I122" s="290" t="s">
        <v>198</v>
      </c>
      <c r="K122" s="66"/>
    </row>
    <row r="123" customFormat="false" ht="15.75" hidden="false" customHeight="false" outlineLevel="0" collapsed="false">
      <c r="A123" s="17"/>
      <c r="B123" s="83" t="s">
        <v>126</v>
      </c>
      <c r="C123" s="83"/>
      <c r="D123" s="83"/>
      <c r="E123" s="83"/>
      <c r="F123" s="83"/>
      <c r="G123" s="83"/>
      <c r="H123" s="119" t="s">
        <v>198</v>
      </c>
      <c r="I123" s="290" t="s">
        <v>198</v>
      </c>
    </row>
    <row r="124" customFormat="false" ht="15.75" hidden="false" customHeight="false" outlineLevel="0" collapsed="false">
      <c r="A124" s="17"/>
      <c r="B124" s="52" t="s">
        <v>255</v>
      </c>
      <c r="C124" s="52"/>
      <c r="D124" s="52"/>
      <c r="E124" s="52"/>
      <c r="F124" s="52"/>
      <c r="G124" s="52"/>
      <c r="H124" s="124" t="n">
        <v>0.03</v>
      </c>
      <c r="I124" s="273" t="n">
        <f aca="false">ROUND(($I$116/(1-H126))*H124,2)</f>
        <v>201.29</v>
      </c>
      <c r="K124" s="66"/>
    </row>
    <row r="125" customFormat="false" ht="15.75" hidden="false" customHeight="false" outlineLevel="0" collapsed="false">
      <c r="A125" s="125" t="s">
        <v>76</v>
      </c>
      <c r="B125" s="125"/>
      <c r="C125" s="125"/>
      <c r="D125" s="125"/>
      <c r="E125" s="125"/>
      <c r="F125" s="125"/>
      <c r="G125" s="125"/>
      <c r="H125" s="125"/>
      <c r="I125" s="291" t="n">
        <f aca="false">I113+I115+I119+I120+I124</f>
        <v>1543.39</v>
      </c>
    </row>
    <row r="126" customFormat="false" ht="15.75" hidden="false" customHeight="false" outlineLevel="0" collapsed="false">
      <c r="A126" s="127" t="s">
        <v>128</v>
      </c>
      <c r="B126" s="127"/>
      <c r="C126" s="127"/>
      <c r="D126" s="127"/>
      <c r="E126" s="127"/>
      <c r="F126" s="127"/>
      <c r="G126" s="127"/>
      <c r="H126" s="128" t="n">
        <f aca="false">SUM(H119:H124)</f>
        <v>0.0665</v>
      </c>
      <c r="I126" s="292" t="n">
        <f aca="false">SUM(I119+I120+I124)</f>
        <v>446.19</v>
      </c>
    </row>
    <row r="127" customFormat="false" ht="15.75" hidden="false" customHeight="false" outlineLevel="0" collapsed="false">
      <c r="A127" s="130" t="s">
        <v>129</v>
      </c>
      <c r="B127" s="130"/>
      <c r="C127" s="293" t="s">
        <v>130</v>
      </c>
      <c r="D127" s="293"/>
      <c r="E127" s="293"/>
      <c r="F127" s="293"/>
      <c r="G127" s="293"/>
      <c r="H127" s="293"/>
      <c r="I127" s="293"/>
    </row>
    <row r="128" customFormat="false" ht="15" hidden="false" customHeight="false" outlineLevel="0" collapsed="false">
      <c r="A128" s="130"/>
      <c r="B128" s="130"/>
      <c r="C128" s="294" t="s">
        <v>131</v>
      </c>
      <c r="D128" s="294"/>
      <c r="E128" s="294"/>
      <c r="F128" s="294"/>
      <c r="G128" s="294"/>
      <c r="H128" s="294"/>
      <c r="I128" s="294"/>
    </row>
    <row r="129" customFormat="false" ht="15.75" hidden="false" customHeight="false" outlineLevel="0" collapsed="false">
      <c r="A129" s="133" t="s">
        <v>132</v>
      </c>
      <c r="B129" s="133"/>
      <c r="C129" s="133"/>
      <c r="D129" s="133"/>
      <c r="E129" s="133"/>
      <c r="F129" s="133"/>
      <c r="G129" s="133"/>
      <c r="H129" s="133"/>
      <c r="I129" s="133"/>
    </row>
    <row r="130" customFormat="false" ht="15.75" hidden="false" customHeight="false" outlineLevel="0" collapsed="false">
      <c r="A130" s="94" t="s">
        <v>133</v>
      </c>
      <c r="B130" s="94"/>
      <c r="C130" s="94"/>
      <c r="D130" s="94"/>
      <c r="E130" s="94"/>
      <c r="F130" s="94"/>
      <c r="G130" s="94"/>
      <c r="H130" s="94"/>
      <c r="I130" s="94"/>
    </row>
    <row r="131" customFormat="false" ht="15.75" hidden="false" customHeight="false" outlineLevel="0" collapsed="false">
      <c r="A131" s="295"/>
      <c r="B131" s="295"/>
      <c r="C131" s="295"/>
      <c r="D131" s="295"/>
      <c r="E131" s="295"/>
      <c r="F131" s="295"/>
      <c r="G131" s="295"/>
      <c r="H131" s="295"/>
      <c r="I131" s="295"/>
    </row>
    <row r="132" customFormat="false" ht="15.75" hidden="false" customHeight="false" outlineLevel="0" collapsed="false">
      <c r="A132" s="33" t="s">
        <v>134</v>
      </c>
      <c r="B132" s="33"/>
      <c r="C132" s="33"/>
      <c r="D132" s="33"/>
      <c r="E132" s="33"/>
      <c r="F132" s="33"/>
      <c r="G132" s="33"/>
      <c r="H132" s="33"/>
      <c r="I132" s="33"/>
    </row>
    <row r="133" customFormat="false" ht="15.75" hidden="false" customHeight="false" outlineLevel="0" collapsed="false">
      <c r="A133" s="135" t="s">
        <v>135</v>
      </c>
      <c r="B133" s="135"/>
      <c r="C133" s="135"/>
      <c r="D133" s="135"/>
      <c r="E133" s="135"/>
      <c r="F133" s="135"/>
      <c r="G133" s="135"/>
      <c r="H133" s="135"/>
      <c r="I133" s="135"/>
    </row>
    <row r="134" customFormat="false" ht="15.75" hidden="false" customHeight="false" outlineLevel="0" collapsed="false">
      <c r="A134" s="136" t="s">
        <v>136</v>
      </c>
      <c r="B134" s="136"/>
      <c r="C134" s="136"/>
      <c r="D134" s="136"/>
      <c r="E134" s="136"/>
      <c r="F134" s="136"/>
      <c r="G134" s="136"/>
      <c r="H134" s="136"/>
      <c r="I134" s="296" t="s">
        <v>35</v>
      </c>
    </row>
    <row r="135" customFormat="false" ht="15.75" hidden="false" customHeight="false" outlineLevel="0" collapsed="false">
      <c r="A135" s="14" t="s">
        <v>8</v>
      </c>
      <c r="B135" s="15" t="s">
        <v>137</v>
      </c>
      <c r="C135" s="15"/>
      <c r="D135" s="15"/>
      <c r="E135" s="15"/>
      <c r="F135" s="15"/>
      <c r="G135" s="15"/>
      <c r="H135" s="15"/>
      <c r="I135" s="297" t="n">
        <f aca="false">I43</f>
        <v>2610.34</v>
      </c>
    </row>
    <row r="136" customFormat="false" ht="15.75" hidden="false" customHeight="false" outlineLevel="0" collapsed="false">
      <c r="A136" s="14" t="s">
        <v>10</v>
      </c>
      <c r="B136" s="15" t="s">
        <v>138</v>
      </c>
      <c r="C136" s="15"/>
      <c r="D136" s="15"/>
      <c r="E136" s="15"/>
      <c r="F136" s="15"/>
      <c r="G136" s="15"/>
      <c r="H136" s="15"/>
      <c r="I136" s="297" t="n">
        <f aca="false">I52</f>
        <v>464.4</v>
      </c>
    </row>
    <row r="137" customFormat="false" ht="15.75" hidden="false" customHeight="false" outlineLevel="0" collapsed="false">
      <c r="A137" s="14" t="s">
        <v>12</v>
      </c>
      <c r="B137" s="15" t="s">
        <v>139</v>
      </c>
      <c r="C137" s="15"/>
      <c r="D137" s="15"/>
      <c r="E137" s="15"/>
      <c r="F137" s="15"/>
      <c r="G137" s="15"/>
      <c r="H137" s="15"/>
      <c r="I137" s="298" t="n">
        <f aca="false">I57</f>
        <v>206.514375</v>
      </c>
    </row>
    <row r="138" customFormat="false" ht="15.75" hidden="false" customHeight="false" outlineLevel="0" collapsed="false">
      <c r="A138" s="14" t="s">
        <v>14</v>
      </c>
      <c r="B138" s="15" t="s">
        <v>109</v>
      </c>
      <c r="C138" s="15"/>
      <c r="D138" s="15"/>
      <c r="E138" s="15"/>
      <c r="F138" s="15"/>
      <c r="G138" s="15"/>
      <c r="H138" s="15"/>
      <c r="I138" s="297" t="n">
        <f aca="false">I109</f>
        <v>1885.13</v>
      </c>
    </row>
    <row r="139" customFormat="false" ht="15.75" hidden="false" customHeight="false" outlineLevel="0" collapsed="false">
      <c r="A139" s="140" t="s">
        <v>140</v>
      </c>
      <c r="B139" s="140"/>
      <c r="C139" s="140"/>
      <c r="D139" s="140"/>
      <c r="E139" s="140"/>
      <c r="F139" s="140"/>
      <c r="G139" s="140"/>
      <c r="H139" s="140"/>
      <c r="I139" s="299" t="n">
        <f aca="false">SUM(I135:I138)</f>
        <v>5166.384375</v>
      </c>
    </row>
    <row r="140" customFormat="false" ht="15.75" hidden="false" customHeight="false" outlineLevel="0" collapsed="false">
      <c r="A140" s="14" t="s">
        <v>40</v>
      </c>
      <c r="B140" s="15" t="s">
        <v>141</v>
      </c>
      <c r="C140" s="15"/>
      <c r="D140" s="15"/>
      <c r="E140" s="15"/>
      <c r="F140" s="15"/>
      <c r="G140" s="15"/>
      <c r="H140" s="15"/>
      <c r="I140" s="297" t="n">
        <f aca="false">I125</f>
        <v>1543.39</v>
      </c>
    </row>
    <row r="141" customFormat="false" ht="15.75" hidden="false" customHeight="false" outlineLevel="0" collapsed="false">
      <c r="A141" s="143" t="s">
        <v>142</v>
      </c>
      <c r="B141" s="143"/>
      <c r="C141" s="143"/>
      <c r="D141" s="143"/>
      <c r="E141" s="143"/>
      <c r="F141" s="143"/>
      <c r="G141" s="143"/>
      <c r="H141" s="143"/>
      <c r="I141" s="300" t="n">
        <f aca="false">SUM(I139+I140)</f>
        <v>6709.774375</v>
      </c>
    </row>
    <row r="142" customFormat="false" ht="15.75" hidden="false" customHeight="false" outlineLevel="0" collapsed="false">
      <c r="A142" s="301"/>
      <c r="B142" s="301"/>
      <c r="C142" s="301"/>
      <c r="D142" s="301"/>
      <c r="E142" s="301"/>
      <c r="F142" s="301"/>
      <c r="G142" s="301"/>
      <c r="H142" s="301"/>
      <c r="I142" s="301"/>
    </row>
    <row r="143" customFormat="false" ht="15.75" hidden="false" customHeight="false" outlineLevel="0" collapsed="false">
      <c r="A143" s="33" t="s">
        <v>143</v>
      </c>
      <c r="B143" s="33"/>
      <c r="C143" s="33"/>
      <c r="D143" s="33"/>
      <c r="E143" s="33"/>
      <c r="F143" s="33"/>
      <c r="G143" s="33"/>
      <c r="H143" s="33"/>
      <c r="I143" s="33"/>
    </row>
    <row r="144" customFormat="false" ht="15.75" hidden="false" customHeight="false" outlineLevel="0" collapsed="false">
      <c r="A144" s="146" t="s">
        <v>144</v>
      </c>
      <c r="B144" s="146"/>
      <c r="C144" s="146"/>
      <c r="D144" s="146"/>
      <c r="E144" s="146"/>
      <c r="F144" s="146"/>
      <c r="G144" s="146"/>
      <c r="H144" s="146"/>
      <c r="I144" s="146"/>
    </row>
    <row r="145" customFormat="false" ht="63" hidden="false" customHeight="true" outlineLevel="0" collapsed="false">
      <c r="A145" s="64" t="s">
        <v>145</v>
      </c>
      <c r="B145" s="64"/>
      <c r="C145" s="245" t="s">
        <v>146</v>
      </c>
      <c r="D145" s="245"/>
      <c r="E145" s="246" t="s">
        <v>147</v>
      </c>
      <c r="F145" s="245" t="s">
        <v>148</v>
      </c>
      <c r="G145" s="245"/>
      <c r="H145" s="245" t="s">
        <v>149</v>
      </c>
      <c r="I145" s="302" t="s">
        <v>150</v>
      </c>
    </row>
    <row r="146" customFormat="false" ht="16.5" hidden="false" customHeight="true" outlineLevel="0" collapsed="false">
      <c r="A146" s="248" t="s">
        <v>26</v>
      </c>
      <c r="B146" s="248"/>
      <c r="C146" s="249" t="n">
        <f aca="false">I141</f>
        <v>6709.774375</v>
      </c>
      <c r="D146" s="249"/>
      <c r="E146" s="250" t="s">
        <v>256</v>
      </c>
      <c r="F146" s="251" t="n">
        <f aca="false">C146</f>
        <v>6709.774375</v>
      </c>
      <c r="G146" s="251"/>
      <c r="H146" s="252" t="n">
        <v>4</v>
      </c>
      <c r="I146" s="303" t="n">
        <f aca="false">F146*H146</f>
        <v>26839.0975</v>
      </c>
    </row>
    <row r="147" customFormat="false" ht="35.25" hidden="false" customHeight="true" outlineLevel="0" collapsed="false">
      <c r="A147" s="301"/>
      <c r="B147" s="301"/>
      <c r="C147" s="301"/>
      <c r="D147" s="301"/>
      <c r="E147" s="301"/>
      <c r="F147" s="301"/>
      <c r="G147" s="301"/>
      <c r="H147" s="301"/>
      <c r="I147" s="301"/>
    </row>
    <row r="148" customFormat="false" ht="15.75" hidden="false" customHeight="false" outlineLevel="0" collapsed="false">
      <c r="A148" s="33" t="s">
        <v>151</v>
      </c>
      <c r="B148" s="33"/>
      <c r="C148" s="33"/>
      <c r="D148" s="33"/>
      <c r="E148" s="33"/>
      <c r="F148" s="33"/>
      <c r="G148" s="33"/>
      <c r="H148" s="33"/>
      <c r="I148" s="33"/>
    </row>
    <row r="149" customFormat="false" ht="15.75" hidden="false" customHeight="false" outlineLevel="0" collapsed="false">
      <c r="A149" s="146" t="s">
        <v>152</v>
      </c>
      <c r="B149" s="146"/>
      <c r="C149" s="146"/>
      <c r="D149" s="146"/>
      <c r="E149" s="146"/>
      <c r="F149" s="146"/>
      <c r="G149" s="146"/>
      <c r="H149" s="146"/>
      <c r="I149" s="146"/>
    </row>
    <row r="150" customFormat="false" ht="15.75" hidden="false" customHeight="false" outlineLevel="0" collapsed="false">
      <c r="A150" s="157" t="s">
        <v>153</v>
      </c>
      <c r="B150" s="157"/>
      <c r="C150" s="157"/>
      <c r="D150" s="157"/>
      <c r="E150" s="157"/>
      <c r="F150" s="157"/>
      <c r="G150" s="157"/>
      <c r="H150" s="157"/>
      <c r="I150" s="157"/>
    </row>
    <row r="151" customFormat="false" ht="15.75" hidden="false" customHeight="false" outlineLevel="0" collapsed="false">
      <c r="A151" s="158" t="s">
        <v>8</v>
      </c>
      <c r="B151" s="15" t="s">
        <v>154</v>
      </c>
      <c r="C151" s="15"/>
      <c r="D151" s="15"/>
      <c r="E151" s="15"/>
      <c r="F151" s="15"/>
      <c r="G151" s="15"/>
      <c r="H151" s="15"/>
      <c r="I151" s="304" t="n">
        <f aca="false">F146</f>
        <v>6709.774375</v>
      </c>
    </row>
    <row r="152" customFormat="false" ht="15.75" hidden="false" customHeight="false" outlineLevel="0" collapsed="false">
      <c r="A152" s="158" t="s">
        <v>10</v>
      </c>
      <c r="B152" s="15" t="s">
        <v>155</v>
      </c>
      <c r="C152" s="15"/>
      <c r="D152" s="15"/>
      <c r="E152" s="15"/>
      <c r="F152" s="15"/>
      <c r="G152" s="15"/>
      <c r="H152" s="15"/>
      <c r="I152" s="305" t="n">
        <f aca="false">I146</f>
        <v>26839.0975</v>
      </c>
    </row>
    <row r="153" customFormat="false" ht="16.5" hidden="false" customHeight="true" outlineLevel="0" collapsed="false">
      <c r="A153" s="161" t="s">
        <v>12</v>
      </c>
      <c r="B153" s="162" t="s">
        <v>156</v>
      </c>
      <c r="C153" s="162"/>
      <c r="D153" s="162"/>
      <c r="E153" s="162"/>
      <c r="F153" s="162"/>
      <c r="G153" s="162"/>
      <c r="H153" s="162"/>
      <c r="I153" s="306" t="n">
        <f aca="false">I152*12</f>
        <v>322069.17</v>
      </c>
    </row>
  </sheetData>
  <mergeCells count="158">
    <mergeCell ref="A8:I8"/>
    <mergeCell ref="A9:I9"/>
    <mergeCell ref="A10:I10"/>
    <mergeCell ref="A11:I11"/>
    <mergeCell ref="A12:I12"/>
    <mergeCell ref="A13:I13"/>
    <mergeCell ref="A14:I14"/>
    <mergeCell ref="B15:H15"/>
    <mergeCell ref="B16:H16"/>
    <mergeCell ref="B17:H17"/>
    <mergeCell ref="B18:H18"/>
    <mergeCell ref="A19:I19"/>
    <mergeCell ref="A20:D20"/>
    <mergeCell ref="E20:F20"/>
    <mergeCell ref="G20:I20"/>
    <mergeCell ref="A21:D21"/>
    <mergeCell ref="E21:F22"/>
    <mergeCell ref="G21:I22"/>
    <mergeCell ref="A22:D22"/>
    <mergeCell ref="B23:I23"/>
    <mergeCell ref="A24:I24"/>
    <mergeCell ref="A25:I25"/>
    <mergeCell ref="A26:I26"/>
    <mergeCell ref="B27:H27"/>
    <mergeCell ref="B28:H28"/>
    <mergeCell ref="B29:H29"/>
    <mergeCell ref="B30:H30"/>
    <mergeCell ref="B31:H31"/>
    <mergeCell ref="B32:H32"/>
    <mergeCell ref="B33:H33"/>
    <mergeCell ref="A34:I34"/>
    <mergeCell ref="A35:I35"/>
    <mergeCell ref="B36:H36"/>
    <mergeCell ref="B37:H37"/>
    <mergeCell ref="B38:H38"/>
    <mergeCell ref="B39:H39"/>
    <mergeCell ref="B40:H40"/>
    <mergeCell ref="B41:H41"/>
    <mergeCell ref="B42:H42"/>
    <mergeCell ref="A43:H43"/>
    <mergeCell ref="A44:I44"/>
    <mergeCell ref="B45:H45"/>
    <mergeCell ref="A46:A48"/>
    <mergeCell ref="B46:H46"/>
    <mergeCell ref="B47:G47"/>
    <mergeCell ref="B48:G48"/>
    <mergeCell ref="A49:A50"/>
    <mergeCell ref="B49:H49"/>
    <mergeCell ref="B50:G50"/>
    <mergeCell ref="B51:H51"/>
    <mergeCell ref="A52:H52"/>
    <mergeCell ref="A53:I53"/>
    <mergeCell ref="A54:I54"/>
    <mergeCell ref="B55:H55"/>
    <mergeCell ref="B56:H56"/>
    <mergeCell ref="A57:H57"/>
    <mergeCell ref="A58:I58"/>
    <mergeCell ref="A59:I59"/>
    <mergeCell ref="B60:G60"/>
    <mergeCell ref="B61:G61"/>
    <mergeCell ref="B62:G62"/>
    <mergeCell ref="B63:G63"/>
    <mergeCell ref="B64:G64"/>
    <mergeCell ref="B65:G65"/>
    <mergeCell ref="B66:G66"/>
    <mergeCell ref="B67:E67"/>
    <mergeCell ref="B68:G68"/>
    <mergeCell ref="A69:G69"/>
    <mergeCell ref="A70:I70"/>
    <mergeCell ref="A71:I71"/>
    <mergeCell ref="A72:I72"/>
    <mergeCell ref="B73:H73"/>
    <mergeCell ref="B74:H74"/>
    <mergeCell ref="A75:H75"/>
    <mergeCell ref="B76:H76"/>
    <mergeCell ref="A77:H77"/>
    <mergeCell ref="A78:I78"/>
    <mergeCell ref="B79:H79"/>
    <mergeCell ref="B80:H80"/>
    <mergeCell ref="B81:H81"/>
    <mergeCell ref="A82:H82"/>
    <mergeCell ref="A83:I83"/>
    <mergeCell ref="B84:H84"/>
    <mergeCell ref="B85:H85"/>
    <mergeCell ref="B86:H86"/>
    <mergeCell ref="B87:H87"/>
    <mergeCell ref="B88:H88"/>
    <mergeCell ref="B89:H89"/>
    <mergeCell ref="B90:H90"/>
    <mergeCell ref="A91:H91"/>
    <mergeCell ref="A92:I92"/>
    <mergeCell ref="B93:H93"/>
    <mergeCell ref="B94:H94"/>
    <mergeCell ref="B95:H95"/>
    <mergeCell ref="B96:H96"/>
    <mergeCell ref="B97:H97"/>
    <mergeCell ref="B98:H98"/>
    <mergeCell ref="A99:H99"/>
    <mergeCell ref="B100:H100"/>
    <mergeCell ref="A101:H101"/>
    <mergeCell ref="A102:I102"/>
    <mergeCell ref="B103:H103"/>
    <mergeCell ref="B104:H104"/>
    <mergeCell ref="B105:H105"/>
    <mergeCell ref="B106:H106"/>
    <mergeCell ref="B107:H107"/>
    <mergeCell ref="B108:H108"/>
    <mergeCell ref="A109:H109"/>
    <mergeCell ref="A110:I110"/>
    <mergeCell ref="B111:G111"/>
    <mergeCell ref="A112:G112"/>
    <mergeCell ref="B113:G113"/>
    <mergeCell ref="A114:G114"/>
    <mergeCell ref="B115:G115"/>
    <mergeCell ref="A116:G116"/>
    <mergeCell ref="A117:A124"/>
    <mergeCell ref="B117:G117"/>
    <mergeCell ref="B118:G118"/>
    <mergeCell ref="B119:G119"/>
    <mergeCell ref="B120:G120"/>
    <mergeCell ref="B121:G121"/>
    <mergeCell ref="B122:G122"/>
    <mergeCell ref="B123:G123"/>
    <mergeCell ref="B124:G124"/>
    <mergeCell ref="A125:H125"/>
    <mergeCell ref="A126:G126"/>
    <mergeCell ref="A127:B128"/>
    <mergeCell ref="C127:I127"/>
    <mergeCell ref="C128:I128"/>
    <mergeCell ref="A129:I129"/>
    <mergeCell ref="A130:I130"/>
    <mergeCell ref="A131:I131"/>
    <mergeCell ref="A132:I132"/>
    <mergeCell ref="A133:I133"/>
    <mergeCell ref="A134:H134"/>
    <mergeCell ref="B135:H135"/>
    <mergeCell ref="B136:H136"/>
    <mergeCell ref="B137:H137"/>
    <mergeCell ref="B138:H138"/>
    <mergeCell ref="A139:H139"/>
    <mergeCell ref="B140:H140"/>
    <mergeCell ref="A141:H141"/>
    <mergeCell ref="A142:I142"/>
    <mergeCell ref="A143:I143"/>
    <mergeCell ref="A144:I144"/>
    <mergeCell ref="A145:B145"/>
    <mergeCell ref="C145:D145"/>
    <mergeCell ref="F145:G145"/>
    <mergeCell ref="A146:B146"/>
    <mergeCell ref="C146:D146"/>
    <mergeCell ref="F146:G146"/>
    <mergeCell ref="A147:I147"/>
    <mergeCell ref="A148:I148"/>
    <mergeCell ref="A149:I149"/>
    <mergeCell ref="A150:I150"/>
    <mergeCell ref="B151:H151"/>
    <mergeCell ref="B152:H152"/>
    <mergeCell ref="B153:H153"/>
  </mergeCells>
  <printOptions headings="false" gridLines="false" gridLinesSet="true" horizontalCentered="false" verticalCentered="false"/>
  <pageMargins left="0.698611111111111" right="0.698611111111111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8" man="true" max="16383" min="0"/>
    <brk id="109" man="true" max="16383" min="0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E6B9B8"/>
    <pageSetUpPr fitToPage="false"/>
  </sheetPr>
  <dimension ref="A1:N153"/>
  <sheetViews>
    <sheetView showFormulas="false" showGridLines="true" showRowColHeaders="true" showZeros="true" rightToLeft="false" tabSelected="false" showOutlineSymbols="true" defaultGridColor="true" view="pageBreakPreview" topLeftCell="A144" colorId="64" zoomScale="76" zoomScaleNormal="100" zoomScalePageLayoutView="76" workbookViewId="0">
      <selection pane="topLeft" activeCell="I33" activeCellId="0" sqref="I33"/>
    </sheetView>
  </sheetViews>
  <sheetFormatPr defaultRowHeight="15" zeroHeight="false" outlineLevelRow="0" outlineLevelCol="0"/>
  <cols>
    <col collapsed="false" customWidth="true" hidden="false" outlineLevel="0" max="1" min="1" style="1" width="12.42"/>
    <col collapsed="false" customWidth="true" hidden="false" outlineLevel="0" max="2" min="2" style="1" width="15.42"/>
    <col collapsed="false" customWidth="true" hidden="false" outlineLevel="0" max="3" min="3" style="1" width="14.57"/>
    <col collapsed="false" customWidth="true" hidden="false" outlineLevel="0" max="4" min="4" style="1" width="11.3"/>
    <col collapsed="false" customWidth="true" hidden="false" outlineLevel="0" max="5" min="5" style="1" width="12.14"/>
    <col collapsed="false" customWidth="true" hidden="false" outlineLevel="0" max="6" min="6" style="1" width="10"/>
    <col collapsed="false" customWidth="true" hidden="false" outlineLevel="0" max="7" min="7" style="1" width="27.31"/>
    <col collapsed="false" customWidth="true" hidden="false" outlineLevel="0" max="8" min="8" style="1" width="30.43"/>
    <col collapsed="false" customWidth="true" hidden="false" outlineLevel="0" max="9" min="9" style="1" width="34.42"/>
    <col collapsed="false" customWidth="true" hidden="true" outlineLevel="0" max="11" min="10" style="1" width="9"/>
    <col collapsed="false" customWidth="true" hidden="false" outlineLevel="0" max="12" min="12" style="1" width="58.57"/>
    <col collapsed="false" customWidth="true" hidden="false" outlineLevel="0" max="13" min="13" style="1" width="34.71"/>
    <col collapsed="false" customWidth="true" hidden="false" outlineLevel="0" max="1025" min="14" style="1" width="28.57"/>
  </cols>
  <sheetData>
    <row r="1" s="101" customFormat="true" ht="15.75" hidden="false" customHeight="false" outlineLevel="0" collapsed="false">
      <c r="A1" s="173" t="s">
        <v>178</v>
      </c>
      <c r="I1" s="209"/>
    </row>
    <row r="2" s="101" customFormat="true" ht="15.75" hidden="false" customHeight="false" outlineLevel="0" collapsed="false">
      <c r="A2" s="173" t="s">
        <v>179</v>
      </c>
      <c r="I2" s="209"/>
    </row>
    <row r="3" s="101" customFormat="true" ht="15.75" hidden="false" customHeight="false" outlineLevel="0" collapsed="false">
      <c r="A3" s="173" t="s">
        <v>180</v>
      </c>
      <c r="I3" s="209"/>
    </row>
    <row r="4" s="101" customFormat="true" ht="15.75" hidden="false" customHeight="false" outlineLevel="0" collapsed="false">
      <c r="A4" s="173" t="s">
        <v>181</v>
      </c>
      <c r="I4" s="209"/>
    </row>
    <row r="5" s="101" customFormat="true" ht="15.75" hidden="false" customHeight="false" outlineLevel="0" collapsed="false">
      <c r="A5" s="173" t="s">
        <v>182</v>
      </c>
      <c r="I5" s="209"/>
    </row>
    <row r="6" s="101" customFormat="true" ht="15.75" hidden="false" customHeight="false" outlineLevel="0" collapsed="false">
      <c r="A6" s="173" t="s">
        <v>183</v>
      </c>
      <c r="I6" s="209"/>
    </row>
    <row r="7" customFormat="false" ht="15.75" hidden="false" customHeight="false" outlineLevel="0" collapsed="false">
      <c r="A7" s="174" t="s">
        <v>184</v>
      </c>
      <c r="I7" s="171"/>
    </row>
    <row r="8" customFormat="false" ht="15.75" hidden="false" customHeight="false" outlineLevel="0" collapsed="false">
      <c r="A8" s="263" t="s">
        <v>1</v>
      </c>
      <c r="B8" s="263"/>
      <c r="C8" s="263"/>
      <c r="D8" s="263"/>
      <c r="E8" s="263"/>
      <c r="F8" s="263"/>
      <c r="G8" s="263"/>
      <c r="H8" s="263"/>
      <c r="I8" s="263"/>
    </row>
    <row r="9" customFormat="false" ht="15.75" hidden="false" customHeight="false" outlineLevel="0" collapsed="false">
      <c r="A9" s="4" t="s">
        <v>2</v>
      </c>
      <c r="B9" s="4"/>
      <c r="C9" s="4"/>
      <c r="D9" s="4"/>
      <c r="E9" s="4"/>
      <c r="F9" s="4"/>
      <c r="G9" s="4"/>
      <c r="H9" s="4"/>
      <c r="I9" s="4"/>
    </row>
    <row r="10" customFormat="false" ht="15.75" hidden="false" customHeight="false" outlineLevel="0" collapsed="false">
      <c r="A10" s="5" t="s">
        <v>3</v>
      </c>
      <c r="B10" s="5"/>
      <c r="C10" s="5"/>
      <c r="D10" s="5"/>
      <c r="E10" s="5"/>
      <c r="F10" s="5"/>
      <c r="G10" s="5"/>
      <c r="H10" s="5"/>
      <c r="I10" s="5"/>
    </row>
    <row r="11" customFormat="false" ht="15.75" hidden="false" customHeight="false" outlineLevel="0" collapsed="false">
      <c r="A11" s="6" t="s">
        <v>4</v>
      </c>
      <c r="B11" s="6"/>
      <c r="C11" s="6"/>
      <c r="D11" s="6"/>
      <c r="E11" s="6"/>
      <c r="F11" s="6"/>
      <c r="G11" s="6"/>
      <c r="H11" s="6"/>
      <c r="I11" s="6"/>
    </row>
    <row r="12" customFormat="false" ht="15.75" hidden="false" customHeight="false" outlineLevel="0" collapsed="false">
      <c r="A12" s="7" t="s">
        <v>5</v>
      </c>
      <c r="B12" s="7"/>
      <c r="C12" s="7"/>
      <c r="D12" s="7"/>
      <c r="E12" s="7"/>
      <c r="F12" s="7"/>
      <c r="G12" s="7"/>
      <c r="H12" s="7"/>
      <c r="I12" s="7"/>
    </row>
    <row r="13" customFormat="false" ht="15.75" hidden="false" customHeight="false" outlineLevel="0" collapsed="false">
      <c r="A13" s="8" t="s">
        <v>6</v>
      </c>
      <c r="B13" s="8"/>
      <c r="C13" s="8"/>
      <c r="D13" s="8"/>
      <c r="E13" s="8"/>
      <c r="F13" s="8"/>
      <c r="G13" s="8"/>
      <c r="H13" s="8"/>
      <c r="I13" s="8"/>
    </row>
    <row r="14" customFormat="false" ht="15.75" hidden="false" customHeight="false" outlineLevel="0" collapsed="false">
      <c r="A14" s="179" t="s">
        <v>7</v>
      </c>
      <c r="B14" s="179"/>
      <c r="C14" s="179"/>
      <c r="D14" s="179"/>
      <c r="E14" s="179"/>
      <c r="F14" s="179"/>
      <c r="G14" s="179"/>
      <c r="H14" s="179"/>
      <c r="I14" s="179"/>
    </row>
    <row r="15" customFormat="false" ht="15.75" hidden="false" customHeight="false" outlineLevel="0" collapsed="false">
      <c r="A15" s="10" t="s">
        <v>8</v>
      </c>
      <c r="B15" s="11" t="s">
        <v>9</v>
      </c>
      <c r="C15" s="11"/>
      <c r="D15" s="11"/>
      <c r="E15" s="11"/>
      <c r="F15" s="11"/>
      <c r="G15" s="11"/>
      <c r="H15" s="11"/>
      <c r="I15" s="307"/>
      <c r="L15" s="13"/>
    </row>
    <row r="16" customFormat="false" ht="15.75" hidden="false" customHeight="false" outlineLevel="0" collapsed="false">
      <c r="A16" s="14" t="s">
        <v>10</v>
      </c>
      <c r="B16" s="15" t="s">
        <v>11</v>
      </c>
      <c r="C16" s="15"/>
      <c r="D16" s="15"/>
      <c r="E16" s="15"/>
      <c r="F16" s="15"/>
      <c r="G16" s="15"/>
      <c r="H16" s="15"/>
      <c r="I16" s="308" t="s">
        <v>249</v>
      </c>
      <c r="L16" s="13"/>
    </row>
    <row r="17" customFormat="false" ht="47.25" hidden="false" customHeight="true" outlineLevel="0" collapsed="false">
      <c r="A17" s="17" t="s">
        <v>12</v>
      </c>
      <c r="B17" s="18" t="s">
        <v>13</v>
      </c>
      <c r="C17" s="18"/>
      <c r="D17" s="18"/>
      <c r="E17" s="18"/>
      <c r="F17" s="18"/>
      <c r="G17" s="18"/>
      <c r="H17" s="18"/>
      <c r="I17" s="37" t="s">
        <v>186</v>
      </c>
      <c r="L17" s="13"/>
    </row>
    <row r="18" customFormat="false" ht="15.75" hidden="false" customHeight="false" outlineLevel="0" collapsed="false">
      <c r="A18" s="20" t="s">
        <v>14</v>
      </c>
      <c r="B18" s="21" t="s">
        <v>15</v>
      </c>
      <c r="C18" s="21"/>
      <c r="D18" s="21"/>
      <c r="E18" s="21"/>
      <c r="F18" s="21"/>
      <c r="G18" s="21"/>
      <c r="H18" s="21"/>
      <c r="I18" s="309" t="n">
        <v>12</v>
      </c>
    </row>
    <row r="19" customFormat="false" ht="15.75" hidden="false" customHeight="false" outlineLevel="0" collapsed="false">
      <c r="A19" s="179" t="s">
        <v>16</v>
      </c>
      <c r="B19" s="179"/>
      <c r="C19" s="179"/>
      <c r="D19" s="179"/>
      <c r="E19" s="179"/>
      <c r="F19" s="179"/>
      <c r="G19" s="179"/>
      <c r="H19" s="179"/>
      <c r="I19" s="179"/>
    </row>
    <row r="20" customFormat="false" ht="15.75" hidden="false" customHeight="false" outlineLevel="0" collapsed="false">
      <c r="A20" s="23" t="s">
        <v>17</v>
      </c>
      <c r="B20" s="23"/>
      <c r="C20" s="23"/>
      <c r="D20" s="23"/>
      <c r="E20" s="24" t="s">
        <v>18</v>
      </c>
      <c r="F20" s="24"/>
      <c r="G20" s="25" t="s">
        <v>19</v>
      </c>
      <c r="H20" s="25"/>
      <c r="I20" s="25"/>
    </row>
    <row r="21" customFormat="false" ht="15.75" hidden="false" customHeight="true" outlineLevel="0" collapsed="false">
      <c r="A21" s="26" t="s">
        <v>20</v>
      </c>
      <c r="B21" s="26"/>
      <c r="C21" s="26"/>
      <c r="D21" s="26"/>
      <c r="E21" s="27" t="s">
        <v>21</v>
      </c>
      <c r="F21" s="27"/>
      <c r="G21" s="28" t="n">
        <v>2</v>
      </c>
      <c r="H21" s="28"/>
      <c r="I21" s="28"/>
    </row>
    <row r="22" customFormat="false" ht="30.75" hidden="false" customHeight="true" outlineLevel="0" collapsed="false">
      <c r="A22" s="338" t="s">
        <v>257</v>
      </c>
      <c r="B22" s="338"/>
      <c r="C22" s="338"/>
      <c r="D22" s="338"/>
      <c r="E22" s="27"/>
      <c r="F22" s="27"/>
      <c r="G22" s="28"/>
      <c r="H22" s="28"/>
      <c r="I22" s="28"/>
      <c r="L22" s="30"/>
    </row>
    <row r="23" customFormat="false" ht="15.75" hidden="false" customHeight="false" outlineLevel="0" collapsed="false">
      <c r="A23" s="31"/>
      <c r="B23" s="269"/>
      <c r="C23" s="269"/>
      <c r="D23" s="269"/>
      <c r="E23" s="269"/>
      <c r="F23" s="269"/>
      <c r="G23" s="269"/>
      <c r="H23" s="269"/>
      <c r="I23" s="269"/>
    </row>
    <row r="24" customFormat="false" ht="15.75" hidden="false" customHeight="false" outlineLevel="0" collapsed="false">
      <c r="A24" s="33" t="s">
        <v>22</v>
      </c>
      <c r="B24" s="33"/>
      <c r="C24" s="33"/>
      <c r="D24" s="33"/>
      <c r="E24" s="33"/>
      <c r="F24" s="33"/>
      <c r="G24" s="33"/>
      <c r="H24" s="33"/>
      <c r="I24" s="33"/>
    </row>
    <row r="25" customFormat="false" ht="15.75" hidden="false" customHeight="false" outlineLevel="0" collapsed="false">
      <c r="A25" s="34" t="s">
        <v>23</v>
      </c>
      <c r="B25" s="34"/>
      <c r="C25" s="34"/>
      <c r="D25" s="34"/>
      <c r="E25" s="34"/>
      <c r="F25" s="34"/>
      <c r="G25" s="34"/>
      <c r="H25" s="34"/>
      <c r="I25" s="34"/>
    </row>
    <row r="26" customFormat="false" ht="15.75" hidden="false" customHeight="false" outlineLevel="0" collapsed="false">
      <c r="A26" s="35" t="s">
        <v>24</v>
      </c>
      <c r="B26" s="35"/>
      <c r="C26" s="35"/>
      <c r="D26" s="35"/>
      <c r="E26" s="35"/>
      <c r="F26" s="35"/>
      <c r="G26" s="35"/>
      <c r="H26" s="35"/>
      <c r="I26" s="35"/>
    </row>
    <row r="27" customFormat="false" ht="15.75" hidden="false" customHeight="true" outlineLevel="0" collapsed="false">
      <c r="A27" s="14" t="n">
        <v>1</v>
      </c>
      <c r="B27" s="36" t="s">
        <v>25</v>
      </c>
      <c r="C27" s="36"/>
      <c r="D27" s="36"/>
      <c r="E27" s="36"/>
      <c r="F27" s="36"/>
      <c r="G27" s="36"/>
      <c r="H27" s="36"/>
      <c r="I27" s="37" t="s">
        <v>26</v>
      </c>
    </row>
    <row r="28" customFormat="false" ht="15.75" hidden="false" customHeight="true" outlineLevel="0" collapsed="false">
      <c r="A28" s="14" t="n">
        <v>2</v>
      </c>
      <c r="B28" s="38" t="s">
        <v>27</v>
      </c>
      <c r="C28" s="38"/>
      <c r="D28" s="38"/>
      <c r="E28" s="38"/>
      <c r="F28" s="38"/>
      <c r="G28" s="38"/>
      <c r="H28" s="38"/>
      <c r="I28" s="308" t="n">
        <f aca="false">Dados!B2</f>
        <v>1305.17</v>
      </c>
    </row>
    <row r="29" customFormat="false" ht="15.75" hidden="false" customHeight="true" outlineLevel="0" collapsed="false">
      <c r="A29" s="14" t="n">
        <v>3</v>
      </c>
      <c r="B29" s="38" t="s">
        <v>28</v>
      </c>
      <c r="C29" s="38"/>
      <c r="D29" s="38"/>
      <c r="E29" s="38"/>
      <c r="F29" s="38"/>
      <c r="G29" s="38"/>
      <c r="H29" s="38"/>
      <c r="I29" s="308" t="s">
        <v>188</v>
      </c>
    </row>
    <row r="30" customFormat="false" ht="15.75" hidden="false" customHeight="true" outlineLevel="0" collapsed="false">
      <c r="A30" s="40" t="n">
        <v>4</v>
      </c>
      <c r="B30" s="41" t="s">
        <v>29</v>
      </c>
      <c r="C30" s="41"/>
      <c r="D30" s="41"/>
      <c r="E30" s="41"/>
      <c r="F30" s="41"/>
      <c r="G30" s="41"/>
      <c r="H30" s="41"/>
      <c r="I30" s="311" t="n">
        <v>42005</v>
      </c>
    </row>
    <row r="31" customFormat="false" ht="15.75" hidden="false" customHeight="true" outlineLevel="0" collapsed="false">
      <c r="A31" s="40" t="n">
        <v>5</v>
      </c>
      <c r="B31" s="38" t="s">
        <v>30</v>
      </c>
      <c r="C31" s="38"/>
      <c r="D31" s="38"/>
      <c r="E31" s="38"/>
      <c r="F31" s="38"/>
      <c r="G31" s="38"/>
      <c r="H31" s="38"/>
      <c r="I31" s="311" t="n">
        <f aca="false">I28/220</f>
        <v>5.93259090909091</v>
      </c>
    </row>
    <row r="32" customFormat="false" ht="15.75" hidden="false" customHeight="true" outlineLevel="0" collapsed="false">
      <c r="A32" s="40" t="n">
        <v>6</v>
      </c>
      <c r="B32" s="38" t="s">
        <v>31</v>
      </c>
      <c r="C32" s="38"/>
      <c r="D32" s="38"/>
      <c r="E32" s="38"/>
      <c r="F32" s="38"/>
      <c r="G32" s="38"/>
      <c r="H32" s="38"/>
      <c r="I32" s="311" t="n">
        <f aca="false">I31*1.5</f>
        <v>8.89888636363636</v>
      </c>
    </row>
    <row r="33" customFormat="false" ht="16.5" hidden="false" customHeight="true" outlineLevel="0" collapsed="false">
      <c r="A33" s="20" t="n">
        <v>7</v>
      </c>
      <c r="B33" s="44" t="s">
        <v>32</v>
      </c>
      <c r="C33" s="44"/>
      <c r="D33" s="44"/>
      <c r="E33" s="44"/>
      <c r="F33" s="44"/>
      <c r="G33" s="44"/>
      <c r="H33" s="44"/>
      <c r="I33" s="267" t="n">
        <f aca="false">I31*0.2</f>
        <v>1.18651818181818</v>
      </c>
    </row>
    <row r="34" customFormat="false" ht="15.75" hidden="false" customHeight="false" outlineLevel="0" collapsed="false">
      <c r="A34" s="339"/>
      <c r="B34" s="339"/>
      <c r="C34" s="339"/>
      <c r="D34" s="339"/>
      <c r="E34" s="339"/>
      <c r="F34" s="339"/>
      <c r="G34" s="339"/>
      <c r="H34" s="339"/>
      <c r="I34" s="339"/>
    </row>
    <row r="35" customFormat="false" ht="15.75" hidden="false" customHeight="false" outlineLevel="0" collapsed="false">
      <c r="A35" s="47" t="s">
        <v>33</v>
      </c>
      <c r="B35" s="47"/>
      <c r="C35" s="47"/>
      <c r="D35" s="47"/>
      <c r="E35" s="47"/>
      <c r="F35" s="47"/>
      <c r="G35" s="47"/>
      <c r="H35" s="47"/>
      <c r="I35" s="47"/>
    </row>
    <row r="36" customFormat="false" ht="15.75" hidden="false" customHeight="false" outlineLevel="0" collapsed="false">
      <c r="A36" s="48" t="n">
        <v>1</v>
      </c>
      <c r="B36" s="49" t="s">
        <v>34</v>
      </c>
      <c r="C36" s="49"/>
      <c r="D36" s="49"/>
      <c r="E36" s="49"/>
      <c r="F36" s="49"/>
      <c r="G36" s="49"/>
      <c r="H36" s="49"/>
      <c r="I36" s="204" t="s">
        <v>35</v>
      </c>
      <c r="L36" s="51"/>
    </row>
    <row r="37" customFormat="false" ht="15.75" hidden="false" customHeight="false" outlineLevel="0" collapsed="false">
      <c r="A37" s="17" t="s">
        <v>8</v>
      </c>
      <c r="B37" s="52" t="s">
        <v>36</v>
      </c>
      <c r="C37" s="52"/>
      <c r="D37" s="52"/>
      <c r="E37" s="52"/>
      <c r="F37" s="52"/>
      <c r="G37" s="52"/>
      <c r="H37" s="52"/>
      <c r="I37" s="207" t="n">
        <f aca="false">ROUND(I28*2,2)</f>
        <v>2610.34</v>
      </c>
      <c r="L37" s="51"/>
    </row>
    <row r="38" customFormat="false" ht="34.5" hidden="false" customHeight="true" outlineLevel="0" collapsed="false">
      <c r="A38" s="17" t="s">
        <v>10</v>
      </c>
      <c r="B38" s="54" t="s">
        <v>37</v>
      </c>
      <c r="C38" s="54"/>
      <c r="D38" s="54"/>
      <c r="E38" s="54"/>
      <c r="F38" s="54"/>
      <c r="G38" s="54"/>
      <c r="H38" s="54"/>
      <c r="I38" s="207" t="n">
        <f aca="false">ROUND(I33*8*15*2,2)</f>
        <v>284.76</v>
      </c>
      <c r="L38" s="55"/>
    </row>
    <row r="39" customFormat="false" ht="49.5" hidden="false" customHeight="true" outlineLevel="0" collapsed="false">
      <c r="A39" s="17" t="s">
        <v>12</v>
      </c>
      <c r="B39" s="54" t="s">
        <v>38</v>
      </c>
      <c r="C39" s="54"/>
      <c r="D39" s="54"/>
      <c r="E39" s="54"/>
      <c r="F39" s="54"/>
      <c r="G39" s="54"/>
      <c r="H39" s="54"/>
      <c r="I39" s="207" t="n">
        <v>192.08</v>
      </c>
      <c r="L39" s="55"/>
      <c r="M39" s="56"/>
    </row>
    <row r="40" customFormat="false" ht="30.75" hidden="false" customHeight="true" outlineLevel="0" collapsed="false">
      <c r="A40" s="17" t="s">
        <v>14</v>
      </c>
      <c r="B40" s="54" t="s">
        <v>39</v>
      </c>
      <c r="C40" s="54"/>
      <c r="D40" s="54"/>
      <c r="E40" s="54"/>
      <c r="F40" s="54"/>
      <c r="G40" s="54"/>
      <c r="H40" s="54"/>
      <c r="I40" s="207" t="n">
        <f aca="false">ROUND(I32*15*2,2)</f>
        <v>266.97</v>
      </c>
      <c r="L40" s="57"/>
    </row>
    <row r="41" customFormat="false" ht="50.25" hidden="false" customHeight="true" outlineLevel="0" collapsed="false">
      <c r="A41" s="17" t="s">
        <v>40</v>
      </c>
      <c r="B41" s="54" t="s">
        <v>41</v>
      </c>
      <c r="C41" s="54"/>
      <c r="D41" s="54"/>
      <c r="E41" s="54"/>
      <c r="F41" s="54"/>
      <c r="G41" s="54"/>
      <c r="H41" s="54"/>
      <c r="I41" s="207"/>
      <c r="L41" s="57"/>
    </row>
    <row r="42" customFormat="false" ht="18.75" hidden="false" customHeight="true" outlineLevel="0" collapsed="false">
      <c r="A42" s="17" t="s">
        <v>42</v>
      </c>
      <c r="B42" s="58" t="s">
        <v>43</v>
      </c>
      <c r="C42" s="58"/>
      <c r="D42" s="58"/>
      <c r="E42" s="58"/>
      <c r="F42" s="58"/>
      <c r="G42" s="58"/>
      <c r="H42" s="58"/>
      <c r="I42" s="207" t="n">
        <f aca="false">SUM(I38:I41)*0.2</f>
        <v>148.762</v>
      </c>
      <c r="K42" s="59"/>
      <c r="M42" s="57"/>
    </row>
    <row r="43" customFormat="false" ht="19.5" hidden="false" customHeight="true" outlineLevel="0" collapsed="false">
      <c r="A43" s="60" t="s">
        <v>44</v>
      </c>
      <c r="B43" s="60"/>
      <c r="C43" s="60"/>
      <c r="D43" s="60"/>
      <c r="E43" s="60"/>
      <c r="F43" s="60"/>
      <c r="G43" s="60"/>
      <c r="H43" s="60"/>
      <c r="I43" s="210" t="n">
        <f aca="false">SUM(I37:I42)</f>
        <v>3502.912</v>
      </c>
    </row>
    <row r="44" customFormat="false" ht="15.75" hidden="false" customHeight="false" outlineLevel="0" collapsed="false">
      <c r="A44" s="47" t="s">
        <v>45</v>
      </c>
      <c r="B44" s="47"/>
      <c r="C44" s="47"/>
      <c r="D44" s="47"/>
      <c r="E44" s="47"/>
      <c r="F44" s="47"/>
      <c r="G44" s="47"/>
      <c r="H44" s="47"/>
      <c r="I44" s="47"/>
    </row>
    <row r="45" customFormat="false" ht="15.75" hidden="false" customHeight="false" outlineLevel="0" collapsed="false">
      <c r="A45" s="62" t="n">
        <v>2</v>
      </c>
      <c r="B45" s="63" t="s">
        <v>46</v>
      </c>
      <c r="C45" s="63"/>
      <c r="D45" s="63"/>
      <c r="E45" s="63"/>
      <c r="F45" s="63"/>
      <c r="G45" s="63"/>
      <c r="H45" s="63"/>
      <c r="I45" s="204" t="s">
        <v>35</v>
      </c>
    </row>
    <row r="46" customFormat="false" ht="19.5" hidden="false" customHeight="true" outlineLevel="0" collapsed="false">
      <c r="A46" s="64" t="s">
        <v>8</v>
      </c>
      <c r="B46" s="54" t="s">
        <v>47</v>
      </c>
      <c r="C46" s="54"/>
      <c r="D46" s="54"/>
      <c r="E46" s="54"/>
      <c r="F46" s="54"/>
      <c r="G46" s="54"/>
      <c r="H46" s="54"/>
      <c r="I46" s="312" t="n">
        <f aca="false">ROUND((2*H48*H47*15)-(0.06*I37),2)</f>
        <v>7.78</v>
      </c>
      <c r="L46" s="66"/>
    </row>
    <row r="47" customFormat="false" ht="33" hidden="false" customHeight="true" outlineLevel="0" collapsed="false">
      <c r="A47" s="64"/>
      <c r="B47" s="67" t="s">
        <v>48</v>
      </c>
      <c r="C47" s="67"/>
      <c r="D47" s="67"/>
      <c r="E47" s="67"/>
      <c r="F47" s="67"/>
      <c r="G47" s="67"/>
      <c r="H47" s="278" t="n">
        <f aca="false">Dados!B13</f>
        <v>2.74</v>
      </c>
      <c r="I47" s="312"/>
    </row>
    <row r="48" customFormat="false" ht="17.25" hidden="false" customHeight="true" outlineLevel="0" collapsed="false">
      <c r="A48" s="64"/>
      <c r="B48" s="69" t="s">
        <v>49</v>
      </c>
      <c r="C48" s="69"/>
      <c r="D48" s="69"/>
      <c r="E48" s="69"/>
      <c r="F48" s="69"/>
      <c r="G48" s="69"/>
      <c r="H48" s="70" t="n">
        <v>2</v>
      </c>
      <c r="I48" s="312" t="n">
        <v>0</v>
      </c>
    </row>
    <row r="49" customFormat="false" ht="16.5" hidden="false" customHeight="true" outlineLevel="0" collapsed="false">
      <c r="A49" s="64" t="s">
        <v>10</v>
      </c>
      <c r="B49" s="54" t="s">
        <v>50</v>
      </c>
      <c r="C49" s="54"/>
      <c r="D49" s="54"/>
      <c r="E49" s="54"/>
      <c r="F49" s="54"/>
      <c r="G49" s="54"/>
      <c r="H49" s="54"/>
      <c r="I49" s="312" t="n">
        <f aca="false">ROUND((2*15*H50)*(1-0.18),2)</f>
        <v>411.56</v>
      </c>
    </row>
    <row r="50" customFormat="false" ht="16.5" hidden="false" customHeight="true" outlineLevel="0" collapsed="false">
      <c r="A50" s="64"/>
      <c r="B50" s="69" t="s">
        <v>51</v>
      </c>
      <c r="C50" s="69"/>
      <c r="D50" s="69"/>
      <c r="E50" s="69"/>
      <c r="F50" s="69"/>
      <c r="G50" s="69"/>
      <c r="H50" s="280" t="n">
        <f aca="false">Dados!B3</f>
        <v>16.73</v>
      </c>
      <c r="I50" s="223"/>
    </row>
    <row r="51" customFormat="false" ht="24" hidden="false" customHeight="true" outlineLevel="0" collapsed="false">
      <c r="A51" s="17" t="s">
        <v>12</v>
      </c>
      <c r="B51" s="58" t="s">
        <v>258</v>
      </c>
      <c r="C51" s="58"/>
      <c r="D51" s="58"/>
      <c r="E51" s="58"/>
      <c r="F51" s="58"/>
      <c r="G51" s="58"/>
      <c r="H51" s="58"/>
      <c r="I51" s="312" t="n">
        <f aca="false">ROUND(Dados!B5*2,2)</f>
        <v>30.04</v>
      </c>
    </row>
    <row r="52" customFormat="false" ht="18" hidden="false" customHeight="true" outlineLevel="0" collapsed="false">
      <c r="A52" s="60" t="s">
        <v>53</v>
      </c>
      <c r="B52" s="60"/>
      <c r="C52" s="60"/>
      <c r="D52" s="60"/>
      <c r="E52" s="60"/>
      <c r="F52" s="60"/>
      <c r="G52" s="60"/>
      <c r="H52" s="60"/>
      <c r="I52" s="210" t="n">
        <f aca="false">SUM(I46:I51)</f>
        <v>449.38</v>
      </c>
    </row>
    <row r="53" customFormat="false" ht="15.75" hidden="false" customHeight="false" outlineLevel="0" collapsed="false">
      <c r="A53" s="73" t="s">
        <v>54</v>
      </c>
      <c r="B53" s="73"/>
      <c r="C53" s="73"/>
      <c r="D53" s="73"/>
      <c r="E53" s="73"/>
      <c r="F53" s="73"/>
      <c r="G53" s="73"/>
      <c r="H53" s="73"/>
      <c r="I53" s="73"/>
    </row>
    <row r="54" customFormat="false" ht="15.75" hidden="false" customHeight="false" outlineLevel="0" collapsed="false">
      <c r="A54" s="47" t="s">
        <v>55</v>
      </c>
      <c r="B54" s="47"/>
      <c r="C54" s="47"/>
      <c r="D54" s="47"/>
      <c r="E54" s="47"/>
      <c r="F54" s="47"/>
      <c r="G54" s="47"/>
      <c r="H54" s="47"/>
      <c r="I54" s="47"/>
    </row>
    <row r="55" customFormat="false" ht="15.75" hidden="false" customHeight="false" outlineLevel="0" collapsed="false">
      <c r="A55" s="62" t="n">
        <v>3</v>
      </c>
      <c r="B55" s="63" t="s">
        <v>56</v>
      </c>
      <c r="C55" s="63"/>
      <c r="D55" s="63"/>
      <c r="E55" s="63"/>
      <c r="F55" s="63"/>
      <c r="G55" s="63"/>
      <c r="H55" s="63"/>
      <c r="I55" s="204" t="s">
        <v>35</v>
      </c>
    </row>
    <row r="56" customFormat="false" ht="15.75" hidden="false" customHeight="false" outlineLevel="0" collapsed="false">
      <c r="A56" s="64" t="s">
        <v>8</v>
      </c>
      <c r="B56" s="74" t="s">
        <v>57</v>
      </c>
      <c r="C56" s="74"/>
      <c r="D56" s="74"/>
      <c r="E56" s="74"/>
      <c r="F56" s="74"/>
      <c r="G56" s="74"/>
      <c r="H56" s="74"/>
      <c r="I56" s="75" t="n">
        <f aca="false">Dados!D6*2</f>
        <v>137.67625</v>
      </c>
      <c r="J56" s="76"/>
      <c r="K56" s="77"/>
    </row>
    <row r="57" customFormat="false" ht="15.75" hidden="false" customHeight="false" outlineLevel="0" collapsed="false">
      <c r="A57" s="60" t="s">
        <v>58</v>
      </c>
      <c r="B57" s="60"/>
      <c r="C57" s="60"/>
      <c r="D57" s="60"/>
      <c r="E57" s="60"/>
      <c r="F57" s="60"/>
      <c r="G57" s="60"/>
      <c r="H57" s="60"/>
      <c r="I57" s="78" t="n">
        <f aca="false">SUM(I56:I56)</f>
        <v>137.67625</v>
      </c>
    </row>
    <row r="58" customFormat="false" ht="15.75" hidden="false" customHeight="false" outlineLevel="0" collapsed="false">
      <c r="A58" s="47" t="s">
        <v>59</v>
      </c>
      <c r="B58" s="47"/>
      <c r="C58" s="47"/>
      <c r="D58" s="47"/>
      <c r="E58" s="47"/>
      <c r="F58" s="47"/>
      <c r="G58" s="47"/>
      <c r="H58" s="47"/>
      <c r="I58" s="47"/>
    </row>
    <row r="59" customFormat="false" ht="15.75" hidden="false" customHeight="false" outlineLevel="0" collapsed="false">
      <c r="A59" s="79" t="s">
        <v>60</v>
      </c>
      <c r="B59" s="79"/>
      <c r="C59" s="79"/>
      <c r="D59" s="79"/>
      <c r="E59" s="79"/>
      <c r="F59" s="79"/>
      <c r="G59" s="79"/>
      <c r="H59" s="79"/>
      <c r="I59" s="79"/>
    </row>
    <row r="60" customFormat="false" ht="15.75" hidden="false" customHeight="false" outlineLevel="0" collapsed="false">
      <c r="A60" s="62" t="s">
        <v>61</v>
      </c>
      <c r="B60" s="80" t="s">
        <v>62</v>
      </c>
      <c r="C60" s="80"/>
      <c r="D60" s="80"/>
      <c r="E60" s="80"/>
      <c r="F60" s="80"/>
      <c r="G60" s="80"/>
      <c r="H60" s="81" t="s">
        <v>63</v>
      </c>
      <c r="I60" s="204" t="s">
        <v>35</v>
      </c>
    </row>
    <row r="61" customFormat="false" ht="15.75" hidden="false" customHeight="false" outlineLevel="0" collapsed="false">
      <c r="A61" s="82" t="s">
        <v>8</v>
      </c>
      <c r="B61" s="83" t="s">
        <v>64</v>
      </c>
      <c r="C61" s="83"/>
      <c r="D61" s="83"/>
      <c r="E61" s="83"/>
      <c r="F61" s="83"/>
      <c r="G61" s="83"/>
      <c r="H61" s="84" t="n">
        <v>0.2</v>
      </c>
      <c r="I61" s="207" t="n">
        <f aca="false">ROUND(($I$43-$I$40)*H61,2)</f>
        <v>647.19</v>
      </c>
      <c r="K61" s="66"/>
    </row>
    <row r="62" customFormat="false" ht="15.75" hidden="false" customHeight="false" outlineLevel="0" collapsed="false">
      <c r="A62" s="82" t="s">
        <v>10</v>
      </c>
      <c r="B62" s="83" t="s">
        <v>65</v>
      </c>
      <c r="C62" s="83"/>
      <c r="D62" s="83"/>
      <c r="E62" s="83"/>
      <c r="F62" s="83"/>
      <c r="G62" s="83"/>
      <c r="H62" s="85" t="n">
        <v>0.015</v>
      </c>
      <c r="I62" s="207" t="n">
        <f aca="false">ROUND(($I$43-$I$40)*H62,2)</f>
        <v>48.54</v>
      </c>
      <c r="K62" s="66"/>
    </row>
    <row r="63" customFormat="false" ht="15.75" hidden="false" customHeight="false" outlineLevel="0" collapsed="false">
      <c r="A63" s="82" t="s">
        <v>12</v>
      </c>
      <c r="B63" s="83" t="s">
        <v>66</v>
      </c>
      <c r="C63" s="83"/>
      <c r="D63" s="83"/>
      <c r="E63" s="83"/>
      <c r="F63" s="83"/>
      <c r="G63" s="83"/>
      <c r="H63" s="84" t="n">
        <v>0.01</v>
      </c>
      <c r="I63" s="207" t="n">
        <f aca="false">ROUND(($I$43-$I$40)*H63,2)</f>
        <v>32.36</v>
      </c>
      <c r="K63" s="66"/>
    </row>
    <row r="64" customFormat="false" ht="15.75" hidden="false" customHeight="false" outlineLevel="0" collapsed="false">
      <c r="A64" s="82" t="s">
        <v>14</v>
      </c>
      <c r="B64" s="83" t="s">
        <v>67</v>
      </c>
      <c r="C64" s="83"/>
      <c r="D64" s="83"/>
      <c r="E64" s="83"/>
      <c r="F64" s="83"/>
      <c r="G64" s="83"/>
      <c r="H64" s="86" t="n">
        <v>0.002</v>
      </c>
      <c r="I64" s="207" t="n">
        <f aca="false">ROUND(($I$43-$I$40)*H64,2)</f>
        <v>6.47</v>
      </c>
      <c r="K64" s="66"/>
    </row>
    <row r="65" customFormat="false" ht="15.75" hidden="false" customHeight="false" outlineLevel="0" collapsed="false">
      <c r="A65" s="82" t="s">
        <v>40</v>
      </c>
      <c r="B65" s="83" t="s">
        <v>68</v>
      </c>
      <c r="C65" s="83"/>
      <c r="D65" s="83"/>
      <c r="E65" s="83"/>
      <c r="F65" s="83"/>
      <c r="G65" s="83"/>
      <c r="H65" s="86" t="n">
        <v>0.025</v>
      </c>
      <c r="I65" s="207" t="n">
        <f aca="false">ROUND(($I$43-$I$40)*H65,2)</f>
        <v>80.9</v>
      </c>
      <c r="K65" s="66"/>
    </row>
    <row r="66" customFormat="false" ht="15.75" hidden="false" customHeight="false" outlineLevel="0" collapsed="false">
      <c r="A66" s="82" t="s">
        <v>42</v>
      </c>
      <c r="B66" s="83" t="s">
        <v>69</v>
      </c>
      <c r="C66" s="83"/>
      <c r="D66" s="83"/>
      <c r="E66" s="83"/>
      <c r="F66" s="83"/>
      <c r="G66" s="83"/>
      <c r="H66" s="84" t="n">
        <v>0.08</v>
      </c>
      <c r="I66" s="207" t="n">
        <f aca="false">ROUND(($I$43-$I$40)*H66,2)</f>
        <v>258.88</v>
      </c>
      <c r="K66" s="66"/>
    </row>
    <row r="67" customFormat="false" ht="15.75" hidden="false" customHeight="false" outlineLevel="0" collapsed="false">
      <c r="A67" s="82" t="s">
        <v>70</v>
      </c>
      <c r="B67" s="87" t="s">
        <v>71</v>
      </c>
      <c r="C67" s="87"/>
      <c r="D67" s="87"/>
      <c r="E67" s="87"/>
      <c r="F67" s="88" t="s">
        <v>72</v>
      </c>
      <c r="G67" s="89" t="s">
        <v>196</v>
      </c>
      <c r="H67" s="86" t="n">
        <v>0.015</v>
      </c>
      <c r="I67" s="207" t="n">
        <f aca="false">ROUND(($I$43-$I$40)*H67,2)</f>
        <v>48.54</v>
      </c>
      <c r="K67" s="66"/>
    </row>
    <row r="68" customFormat="false" ht="15.75" hidden="false" customHeight="false" outlineLevel="0" collapsed="false">
      <c r="A68" s="82" t="s">
        <v>74</v>
      </c>
      <c r="B68" s="83" t="s">
        <v>75</v>
      </c>
      <c r="C68" s="83"/>
      <c r="D68" s="83"/>
      <c r="E68" s="83"/>
      <c r="F68" s="83"/>
      <c r="G68" s="83"/>
      <c r="H68" s="86" t="n">
        <v>0.006</v>
      </c>
      <c r="I68" s="207" t="n">
        <f aca="false">ROUND(($I$43-$I$40)*H68,2)</f>
        <v>19.42</v>
      </c>
      <c r="K68" s="66"/>
    </row>
    <row r="69" customFormat="false" ht="15.75" hidden="false" customHeight="false" outlineLevel="0" collapsed="false">
      <c r="A69" s="90" t="s">
        <v>76</v>
      </c>
      <c r="B69" s="90"/>
      <c r="C69" s="90"/>
      <c r="D69" s="90"/>
      <c r="E69" s="90"/>
      <c r="F69" s="90"/>
      <c r="G69" s="90"/>
      <c r="H69" s="91" t="n">
        <f aca="false">SUM(H61:H68)</f>
        <v>0.353</v>
      </c>
      <c r="I69" s="219" t="n">
        <f aca="false">SUM(I61:I68)</f>
        <v>1142.3</v>
      </c>
      <c r="K69" s="66"/>
    </row>
    <row r="70" customFormat="false" ht="15.75" hidden="false" customHeight="false" outlineLevel="0" collapsed="false">
      <c r="A70" s="93" t="s">
        <v>77</v>
      </c>
      <c r="B70" s="93"/>
      <c r="C70" s="93"/>
      <c r="D70" s="93"/>
      <c r="E70" s="93"/>
      <c r="F70" s="93"/>
      <c r="G70" s="93"/>
      <c r="H70" s="93"/>
      <c r="I70" s="93"/>
    </row>
    <row r="71" customFormat="false" ht="15.75" hidden="false" customHeight="false" outlineLevel="0" collapsed="false">
      <c r="A71" s="94" t="s">
        <v>78</v>
      </c>
      <c r="B71" s="94"/>
      <c r="C71" s="94"/>
      <c r="D71" s="94"/>
      <c r="E71" s="94"/>
      <c r="F71" s="94"/>
      <c r="G71" s="94"/>
      <c r="H71" s="94"/>
      <c r="I71" s="94"/>
    </row>
    <row r="72" customFormat="false" ht="15.75" hidden="false" customHeight="false" outlineLevel="0" collapsed="false">
      <c r="A72" s="79" t="s">
        <v>79</v>
      </c>
      <c r="B72" s="79"/>
      <c r="C72" s="79"/>
      <c r="D72" s="79"/>
      <c r="E72" s="79"/>
      <c r="F72" s="79"/>
      <c r="G72" s="79"/>
      <c r="H72" s="79"/>
      <c r="I72" s="79"/>
    </row>
    <row r="73" customFormat="false" ht="15.75" hidden="false" customHeight="false" outlineLevel="0" collapsed="false">
      <c r="A73" s="62" t="s">
        <v>80</v>
      </c>
      <c r="B73" s="81" t="s">
        <v>81</v>
      </c>
      <c r="C73" s="81"/>
      <c r="D73" s="81"/>
      <c r="E73" s="81"/>
      <c r="F73" s="81"/>
      <c r="G73" s="81"/>
      <c r="H73" s="81"/>
      <c r="I73" s="204" t="s">
        <v>35</v>
      </c>
    </row>
    <row r="74" customFormat="false" ht="33.75" hidden="false" customHeight="true" outlineLevel="0" collapsed="false">
      <c r="A74" s="17" t="s">
        <v>8</v>
      </c>
      <c r="B74" s="95" t="s">
        <v>82</v>
      </c>
      <c r="C74" s="95"/>
      <c r="D74" s="95"/>
      <c r="E74" s="95"/>
      <c r="F74" s="95"/>
      <c r="G74" s="95"/>
      <c r="H74" s="95"/>
      <c r="I74" s="220" t="n">
        <f aca="false">ROUND(I43/12,2)</f>
        <v>291.91</v>
      </c>
      <c r="K74" s="66"/>
    </row>
    <row r="75" customFormat="false" ht="15.75" hidden="false" customHeight="false" outlineLevel="0" collapsed="false">
      <c r="A75" s="97" t="s">
        <v>83</v>
      </c>
      <c r="B75" s="97"/>
      <c r="C75" s="97"/>
      <c r="D75" s="97"/>
      <c r="E75" s="97"/>
      <c r="F75" s="97"/>
      <c r="G75" s="97"/>
      <c r="H75" s="97"/>
      <c r="I75" s="207" t="n">
        <f aca="false">SUM(I74:I74)</f>
        <v>291.91</v>
      </c>
      <c r="K75" s="66"/>
    </row>
    <row r="76" customFormat="false" ht="15.75" hidden="false" customHeight="false" outlineLevel="0" collapsed="false">
      <c r="A76" s="17" t="s">
        <v>10</v>
      </c>
      <c r="B76" s="83" t="s">
        <v>84</v>
      </c>
      <c r="C76" s="83"/>
      <c r="D76" s="83"/>
      <c r="E76" s="83"/>
      <c r="F76" s="83"/>
      <c r="G76" s="83"/>
      <c r="H76" s="83"/>
      <c r="I76" s="207" t="n">
        <f aca="false">ROUND(I75*H69,2)</f>
        <v>103.04</v>
      </c>
      <c r="K76" s="66"/>
    </row>
    <row r="77" customFormat="false" ht="15.75" hidden="false" customHeight="false" outlineLevel="0" collapsed="false">
      <c r="A77" s="60" t="s">
        <v>76</v>
      </c>
      <c r="B77" s="60"/>
      <c r="C77" s="60"/>
      <c r="D77" s="60"/>
      <c r="E77" s="60"/>
      <c r="F77" s="60"/>
      <c r="G77" s="60"/>
      <c r="H77" s="60"/>
      <c r="I77" s="210" t="n">
        <f aca="false">SUM(I75:I76)</f>
        <v>394.95</v>
      </c>
      <c r="K77" s="66"/>
    </row>
    <row r="78" customFormat="false" ht="15.75" hidden="false" customHeight="false" outlineLevel="0" collapsed="false">
      <c r="A78" s="79" t="s">
        <v>85</v>
      </c>
      <c r="B78" s="79"/>
      <c r="C78" s="79"/>
      <c r="D78" s="79"/>
      <c r="E78" s="79"/>
      <c r="F78" s="79"/>
      <c r="G78" s="79"/>
      <c r="H78" s="79"/>
      <c r="I78" s="79"/>
    </row>
    <row r="79" customFormat="false" ht="15.75" hidden="false" customHeight="false" outlineLevel="0" collapsed="false">
      <c r="A79" s="62" t="s">
        <v>86</v>
      </c>
      <c r="B79" s="81" t="s">
        <v>87</v>
      </c>
      <c r="C79" s="81"/>
      <c r="D79" s="81"/>
      <c r="E79" s="81"/>
      <c r="F79" s="81"/>
      <c r="G79" s="81"/>
      <c r="H79" s="81"/>
      <c r="I79" s="204" t="s">
        <v>35</v>
      </c>
    </row>
    <row r="80" customFormat="false" ht="15.75" hidden="false" customHeight="false" outlineLevel="0" collapsed="false">
      <c r="A80" s="17" t="s">
        <v>8</v>
      </c>
      <c r="B80" s="52" t="s">
        <v>88</v>
      </c>
      <c r="C80" s="52"/>
      <c r="D80" s="52"/>
      <c r="E80" s="52"/>
      <c r="F80" s="52"/>
      <c r="G80" s="52"/>
      <c r="H80" s="52"/>
      <c r="I80" s="75" t="n">
        <f aca="false">ROUND((((I43+I43/3)*(4/12))/12)*0.02,2)</f>
        <v>2.59</v>
      </c>
    </row>
    <row r="81" customFormat="false" ht="15.75" hidden="false" customHeight="false" outlineLevel="0" collapsed="false">
      <c r="A81" s="17" t="s">
        <v>10</v>
      </c>
      <c r="B81" s="83" t="s">
        <v>89</v>
      </c>
      <c r="C81" s="83"/>
      <c r="D81" s="83"/>
      <c r="E81" s="83"/>
      <c r="F81" s="83"/>
      <c r="G81" s="83"/>
      <c r="H81" s="83"/>
      <c r="I81" s="75" t="n">
        <f aca="false">ROUND(I80*H69,2)</f>
        <v>0.91</v>
      </c>
    </row>
    <row r="82" customFormat="false" ht="15.75" hidden="false" customHeight="false" outlineLevel="0" collapsed="false">
      <c r="A82" s="60" t="s">
        <v>76</v>
      </c>
      <c r="B82" s="60"/>
      <c r="C82" s="60"/>
      <c r="D82" s="60"/>
      <c r="E82" s="60"/>
      <c r="F82" s="60"/>
      <c r="G82" s="60"/>
      <c r="H82" s="60"/>
      <c r="I82" s="210" t="n">
        <f aca="false">SUM(I80:I81)</f>
        <v>3.5</v>
      </c>
    </row>
    <row r="83" customFormat="false" ht="15.75" hidden="false" customHeight="false" outlineLevel="0" collapsed="false">
      <c r="A83" s="79" t="s">
        <v>90</v>
      </c>
      <c r="B83" s="79"/>
      <c r="C83" s="79"/>
      <c r="D83" s="79"/>
      <c r="E83" s="79"/>
      <c r="F83" s="79"/>
      <c r="G83" s="79"/>
      <c r="H83" s="79"/>
      <c r="I83" s="79"/>
    </row>
    <row r="84" customFormat="false" ht="15.75" hidden="false" customHeight="false" outlineLevel="0" collapsed="false">
      <c r="A84" s="62" t="s">
        <v>91</v>
      </c>
      <c r="B84" s="81" t="s">
        <v>92</v>
      </c>
      <c r="C84" s="81"/>
      <c r="D84" s="81"/>
      <c r="E84" s="81"/>
      <c r="F84" s="81"/>
      <c r="G84" s="81"/>
      <c r="H84" s="81"/>
      <c r="I84" s="204" t="s">
        <v>35</v>
      </c>
    </row>
    <row r="85" customFormat="false" ht="28.5" hidden="false" customHeight="true" outlineLevel="0" collapsed="false">
      <c r="A85" s="17" t="s">
        <v>8</v>
      </c>
      <c r="B85" s="99" t="s">
        <v>93</v>
      </c>
      <c r="C85" s="99"/>
      <c r="D85" s="99"/>
      <c r="E85" s="99"/>
      <c r="F85" s="99"/>
      <c r="G85" s="99"/>
      <c r="H85" s="99"/>
      <c r="I85" s="207" t="n">
        <f aca="false">ROUND((I43/12)*(30/30)*0.05,2)</f>
        <v>14.6</v>
      </c>
    </row>
    <row r="86" customFormat="false" ht="15.75" hidden="false" customHeight="true" outlineLevel="0" collapsed="false">
      <c r="A86" s="17" t="s">
        <v>10</v>
      </c>
      <c r="B86" s="83" t="s">
        <v>94</v>
      </c>
      <c r="C86" s="83"/>
      <c r="D86" s="83"/>
      <c r="E86" s="83"/>
      <c r="F86" s="83"/>
      <c r="G86" s="83"/>
      <c r="H86" s="83"/>
      <c r="I86" s="207" t="n">
        <f aca="false">ROUND(I85*H66,2)</f>
        <v>1.17</v>
      </c>
    </row>
    <row r="87" customFormat="false" ht="49.5" hidden="false" customHeight="true" outlineLevel="0" collapsed="false">
      <c r="A87" s="17" t="s">
        <v>12</v>
      </c>
      <c r="B87" s="95" t="s">
        <v>95</v>
      </c>
      <c r="C87" s="95"/>
      <c r="D87" s="95"/>
      <c r="E87" s="95"/>
      <c r="F87" s="95"/>
      <c r="G87" s="95"/>
      <c r="H87" s="95"/>
      <c r="I87" s="220" t="n">
        <f aca="false">ROUND(0.0024*I43,2)</f>
        <v>8.41</v>
      </c>
      <c r="K87" s="66"/>
    </row>
    <row r="88" customFormat="false" ht="30.75" hidden="false" customHeight="true" outlineLevel="0" collapsed="false">
      <c r="A88" s="100" t="s">
        <v>14</v>
      </c>
      <c r="B88" s="99" t="s">
        <v>96</v>
      </c>
      <c r="C88" s="99"/>
      <c r="D88" s="99"/>
      <c r="E88" s="99"/>
      <c r="F88" s="99"/>
      <c r="G88" s="99"/>
      <c r="H88" s="99"/>
      <c r="I88" s="207" t="n">
        <v>0</v>
      </c>
      <c r="N88" s="101"/>
    </row>
    <row r="89" customFormat="false" ht="18" hidden="false" customHeight="true" outlineLevel="0" collapsed="false">
      <c r="A89" s="17" t="s">
        <v>40</v>
      </c>
      <c r="B89" s="83" t="s">
        <v>97</v>
      </c>
      <c r="C89" s="83"/>
      <c r="D89" s="83"/>
      <c r="E89" s="83"/>
      <c r="F89" s="83"/>
      <c r="G89" s="83"/>
      <c r="H89" s="83"/>
      <c r="I89" s="207" t="n">
        <f aca="false">ROUND(I88*H69,2)</f>
        <v>0</v>
      </c>
      <c r="J89" s="13"/>
      <c r="K89" s="13"/>
      <c r="L89" s="102"/>
    </row>
    <row r="90" customFormat="false" ht="48.75" hidden="false" customHeight="true" outlineLevel="0" collapsed="false">
      <c r="A90" s="17" t="s">
        <v>42</v>
      </c>
      <c r="B90" s="95" t="s">
        <v>98</v>
      </c>
      <c r="C90" s="95"/>
      <c r="D90" s="95"/>
      <c r="E90" s="95"/>
      <c r="F90" s="95"/>
      <c r="G90" s="95"/>
      <c r="H90" s="95"/>
      <c r="I90" s="220" t="n">
        <f aca="false">ROUND(0.0476*I43,2)</f>
        <v>166.74</v>
      </c>
      <c r="J90" s="13"/>
      <c r="K90" s="66"/>
      <c r="L90" s="13"/>
    </row>
    <row r="91" customFormat="false" ht="20.25" hidden="false" customHeight="true" outlineLevel="0" collapsed="false">
      <c r="A91" s="60" t="s">
        <v>76</v>
      </c>
      <c r="B91" s="60"/>
      <c r="C91" s="60"/>
      <c r="D91" s="60"/>
      <c r="E91" s="60"/>
      <c r="F91" s="60"/>
      <c r="G91" s="60"/>
      <c r="H91" s="60"/>
      <c r="I91" s="210" t="n">
        <f aca="false">SUM(I85:I90)</f>
        <v>190.92</v>
      </c>
    </row>
    <row r="92" customFormat="false" ht="20.25" hidden="false" customHeight="true" outlineLevel="0" collapsed="false">
      <c r="A92" s="79" t="s">
        <v>99</v>
      </c>
      <c r="B92" s="79"/>
      <c r="C92" s="79"/>
      <c r="D92" s="79"/>
      <c r="E92" s="79"/>
      <c r="F92" s="79"/>
      <c r="G92" s="79"/>
      <c r="H92" s="79"/>
      <c r="I92" s="79"/>
    </row>
    <row r="93" customFormat="false" ht="15.75" hidden="false" customHeight="false" outlineLevel="0" collapsed="false">
      <c r="A93" s="62" t="s">
        <v>100</v>
      </c>
      <c r="B93" s="81" t="s">
        <v>101</v>
      </c>
      <c r="C93" s="81"/>
      <c r="D93" s="81"/>
      <c r="E93" s="81"/>
      <c r="F93" s="81"/>
      <c r="G93" s="81"/>
      <c r="H93" s="81"/>
      <c r="I93" s="204" t="s">
        <v>35</v>
      </c>
    </row>
    <row r="94" customFormat="false" ht="49.5" hidden="false" customHeight="true" outlineLevel="0" collapsed="false">
      <c r="A94" s="17" t="s">
        <v>8</v>
      </c>
      <c r="B94" s="95" t="s">
        <v>102</v>
      </c>
      <c r="C94" s="95"/>
      <c r="D94" s="95"/>
      <c r="E94" s="95"/>
      <c r="F94" s="95"/>
      <c r="G94" s="95"/>
      <c r="H94" s="95"/>
      <c r="I94" s="220" t="n">
        <f aca="false">ROUND(0.121*I43,2)</f>
        <v>423.85</v>
      </c>
      <c r="K94" s="66"/>
    </row>
    <row r="95" customFormat="false" ht="17.25" hidden="false" customHeight="true" outlineLevel="0" collapsed="false">
      <c r="A95" s="17" t="s">
        <v>10</v>
      </c>
      <c r="B95" s="52" t="s">
        <v>103</v>
      </c>
      <c r="C95" s="52"/>
      <c r="D95" s="52"/>
      <c r="E95" s="52"/>
      <c r="F95" s="52"/>
      <c r="G95" s="52"/>
      <c r="H95" s="52"/>
      <c r="I95" s="207" t="n">
        <f aca="false">ROUND(((I43/30)*5)/12,2)</f>
        <v>48.65</v>
      </c>
    </row>
    <row r="96" customFormat="false" ht="16.5" hidden="false" customHeight="true" outlineLevel="0" collapsed="false">
      <c r="A96" s="17" t="s">
        <v>12</v>
      </c>
      <c r="B96" s="52" t="s">
        <v>104</v>
      </c>
      <c r="C96" s="52"/>
      <c r="D96" s="52"/>
      <c r="E96" s="52"/>
      <c r="F96" s="52"/>
      <c r="G96" s="52"/>
      <c r="H96" s="52"/>
      <c r="I96" s="207" t="n">
        <f aca="false">ROUND((((I43/30)*5)/12)*0.015,2)</f>
        <v>0.73</v>
      </c>
    </row>
    <row r="97" customFormat="false" ht="17.25" hidden="false" customHeight="true" outlineLevel="0" collapsed="false">
      <c r="A97" s="17" t="s">
        <v>14</v>
      </c>
      <c r="B97" s="52" t="s">
        <v>105</v>
      </c>
      <c r="C97" s="52"/>
      <c r="D97" s="52"/>
      <c r="E97" s="52"/>
      <c r="F97" s="52"/>
      <c r="G97" s="52"/>
      <c r="H97" s="52"/>
      <c r="I97" s="207" t="n">
        <f aca="false">ROUND(((I43/30)*2.96)/12,2)</f>
        <v>28.8</v>
      </c>
    </row>
    <row r="98" customFormat="false" ht="16.5" hidden="false" customHeight="true" outlineLevel="0" collapsed="false">
      <c r="A98" s="17" t="s">
        <v>40</v>
      </c>
      <c r="B98" s="52" t="s">
        <v>106</v>
      </c>
      <c r="C98" s="52"/>
      <c r="D98" s="52"/>
      <c r="E98" s="52"/>
      <c r="F98" s="52"/>
      <c r="G98" s="52"/>
      <c r="H98" s="52"/>
      <c r="I98" s="207" t="n">
        <f aca="false">ROUND((((I43/30)*15)/12)*0.0078,2)</f>
        <v>1.14</v>
      </c>
    </row>
    <row r="99" customFormat="false" ht="18" hidden="false" customHeight="true" outlineLevel="0" collapsed="false">
      <c r="A99" s="97" t="s">
        <v>83</v>
      </c>
      <c r="B99" s="97"/>
      <c r="C99" s="97"/>
      <c r="D99" s="97"/>
      <c r="E99" s="97"/>
      <c r="F99" s="97"/>
      <c r="G99" s="97"/>
      <c r="H99" s="97"/>
      <c r="I99" s="223" t="n">
        <f aca="false">SUM(I94:I98)</f>
        <v>503.17</v>
      </c>
      <c r="K99" s="66"/>
    </row>
    <row r="100" customFormat="false" ht="19.5" hidden="false" customHeight="true" outlineLevel="0" collapsed="false">
      <c r="A100" s="17" t="s">
        <v>70</v>
      </c>
      <c r="B100" s="83" t="s">
        <v>107</v>
      </c>
      <c r="C100" s="83"/>
      <c r="D100" s="83"/>
      <c r="E100" s="83"/>
      <c r="F100" s="83"/>
      <c r="G100" s="83"/>
      <c r="H100" s="83"/>
      <c r="I100" s="224" t="n">
        <f aca="false">ROUND(I99*H69,2)</f>
        <v>177.62</v>
      </c>
      <c r="K100" s="66"/>
    </row>
    <row r="101" customFormat="false" ht="18.75" hidden="false" customHeight="true" outlineLevel="0" collapsed="false">
      <c r="A101" s="60" t="s">
        <v>76</v>
      </c>
      <c r="B101" s="60"/>
      <c r="C101" s="60"/>
      <c r="D101" s="60"/>
      <c r="E101" s="60"/>
      <c r="F101" s="60"/>
      <c r="G101" s="60"/>
      <c r="H101" s="60"/>
      <c r="I101" s="210" t="n">
        <f aca="false">SUM(I99+I100)</f>
        <v>680.79</v>
      </c>
      <c r="K101" s="66"/>
    </row>
    <row r="102" customFormat="false" ht="15.75" hidden="false" customHeight="true" outlineLevel="0" collapsed="false">
      <c r="A102" s="104" t="s">
        <v>108</v>
      </c>
      <c r="B102" s="104"/>
      <c r="C102" s="104"/>
      <c r="D102" s="104"/>
      <c r="E102" s="104"/>
      <c r="F102" s="104"/>
      <c r="G102" s="104"/>
      <c r="H102" s="104"/>
      <c r="I102" s="104"/>
    </row>
    <row r="103" customFormat="false" ht="14.25" hidden="false" customHeight="true" outlineLevel="0" collapsed="false">
      <c r="A103" s="62" t="n">
        <v>4</v>
      </c>
      <c r="B103" s="81" t="s">
        <v>109</v>
      </c>
      <c r="C103" s="81"/>
      <c r="D103" s="81"/>
      <c r="E103" s="81"/>
      <c r="F103" s="81"/>
      <c r="G103" s="81"/>
      <c r="H103" s="81"/>
      <c r="I103" s="204" t="s">
        <v>35</v>
      </c>
    </row>
    <row r="104" customFormat="false" ht="15.75" hidden="false" customHeight="true" outlineLevel="0" collapsed="false">
      <c r="A104" s="17" t="s">
        <v>61</v>
      </c>
      <c r="B104" s="83" t="s">
        <v>62</v>
      </c>
      <c r="C104" s="83"/>
      <c r="D104" s="83"/>
      <c r="E104" s="83"/>
      <c r="F104" s="83"/>
      <c r="G104" s="83"/>
      <c r="H104" s="83"/>
      <c r="I104" s="75" t="n">
        <f aca="false">I69</f>
        <v>1142.3</v>
      </c>
    </row>
    <row r="105" customFormat="false" ht="15" hidden="false" customHeight="true" outlineLevel="0" collapsed="false">
      <c r="A105" s="17" t="s">
        <v>80</v>
      </c>
      <c r="B105" s="83" t="s">
        <v>110</v>
      </c>
      <c r="C105" s="83"/>
      <c r="D105" s="83"/>
      <c r="E105" s="83"/>
      <c r="F105" s="83"/>
      <c r="G105" s="83"/>
      <c r="H105" s="83"/>
      <c r="I105" s="75" t="n">
        <f aca="false">I77</f>
        <v>394.95</v>
      </c>
    </row>
    <row r="106" customFormat="false" ht="18.75" hidden="false" customHeight="true" outlineLevel="0" collapsed="false">
      <c r="A106" s="17" t="s">
        <v>86</v>
      </c>
      <c r="B106" s="83" t="s">
        <v>87</v>
      </c>
      <c r="C106" s="83"/>
      <c r="D106" s="83"/>
      <c r="E106" s="83"/>
      <c r="F106" s="83"/>
      <c r="G106" s="83"/>
      <c r="H106" s="83"/>
      <c r="I106" s="75" t="n">
        <f aca="false">I82</f>
        <v>3.5</v>
      </c>
    </row>
    <row r="107" customFormat="false" ht="15.75" hidden="false" customHeight="true" outlineLevel="0" collapsed="false">
      <c r="A107" s="17" t="s">
        <v>91</v>
      </c>
      <c r="B107" s="83" t="s">
        <v>111</v>
      </c>
      <c r="C107" s="83"/>
      <c r="D107" s="83"/>
      <c r="E107" s="83"/>
      <c r="F107" s="83"/>
      <c r="G107" s="83"/>
      <c r="H107" s="83"/>
      <c r="I107" s="75" t="n">
        <f aca="false">I91</f>
        <v>190.92</v>
      </c>
    </row>
    <row r="108" customFormat="false" ht="15.75" hidden="false" customHeight="true" outlineLevel="0" collapsed="false">
      <c r="A108" s="17" t="s">
        <v>100</v>
      </c>
      <c r="B108" s="83" t="s">
        <v>112</v>
      </c>
      <c r="C108" s="83"/>
      <c r="D108" s="83"/>
      <c r="E108" s="83"/>
      <c r="F108" s="83"/>
      <c r="G108" s="83"/>
      <c r="H108" s="83"/>
      <c r="I108" s="75" t="n">
        <f aca="false">I101</f>
        <v>680.79</v>
      </c>
    </row>
    <row r="109" customFormat="false" ht="18.75" hidden="false" customHeight="true" outlineLevel="0" collapsed="false">
      <c r="A109" s="60" t="s">
        <v>76</v>
      </c>
      <c r="B109" s="60"/>
      <c r="C109" s="60"/>
      <c r="D109" s="60"/>
      <c r="E109" s="60"/>
      <c r="F109" s="60"/>
      <c r="G109" s="60"/>
      <c r="H109" s="60"/>
      <c r="I109" s="210" t="n">
        <f aca="false">SUM(I104:I108)</f>
        <v>2412.46</v>
      </c>
      <c r="K109" s="106"/>
    </row>
    <row r="110" customFormat="false" ht="25.5" hidden="false" customHeight="true" outlineLevel="0" collapsed="false">
      <c r="A110" s="107" t="s">
        <v>113</v>
      </c>
      <c r="B110" s="107"/>
      <c r="C110" s="107"/>
      <c r="D110" s="107"/>
      <c r="E110" s="107"/>
      <c r="F110" s="107"/>
      <c r="G110" s="107"/>
      <c r="H110" s="107"/>
      <c r="I110" s="107"/>
    </row>
    <row r="111" customFormat="false" ht="23.25" hidden="false" customHeight="true" outlineLevel="0" collapsed="false">
      <c r="A111" s="62" t="n">
        <v>5</v>
      </c>
      <c r="B111" s="63" t="s">
        <v>114</v>
      </c>
      <c r="C111" s="63"/>
      <c r="D111" s="63"/>
      <c r="E111" s="63"/>
      <c r="F111" s="63"/>
      <c r="G111" s="63"/>
      <c r="H111" s="108" t="s">
        <v>63</v>
      </c>
      <c r="I111" s="204" t="s">
        <v>35</v>
      </c>
    </row>
    <row r="112" customFormat="false" ht="51" hidden="false" customHeight="true" outlineLevel="0" collapsed="false">
      <c r="A112" s="109" t="s">
        <v>115</v>
      </c>
      <c r="B112" s="109"/>
      <c r="C112" s="109"/>
      <c r="D112" s="109"/>
      <c r="E112" s="109"/>
      <c r="F112" s="109"/>
      <c r="G112" s="109"/>
      <c r="H112" s="110" t="n">
        <v>0</v>
      </c>
      <c r="I112" s="226" t="n">
        <f aca="false">(I43+I52+I57+I109)</f>
        <v>6502.42825</v>
      </c>
    </row>
    <row r="113" customFormat="false" ht="19.5" hidden="false" customHeight="true" outlineLevel="0" collapsed="false">
      <c r="A113" s="17" t="s">
        <v>8</v>
      </c>
      <c r="B113" s="83" t="s">
        <v>116</v>
      </c>
      <c r="C113" s="83"/>
      <c r="D113" s="83"/>
      <c r="E113" s="83"/>
      <c r="F113" s="83"/>
      <c r="G113" s="83"/>
      <c r="H113" s="112" t="n">
        <f aca="false">'Dom Pedrito 4.2'!H110</f>
        <v>0.1207</v>
      </c>
      <c r="I113" s="207" t="n">
        <f aca="false">ROUND(I112*H113,2)</f>
        <v>784.84</v>
      </c>
      <c r="J113" s="113"/>
    </row>
    <row r="114" customFormat="false" ht="44.25" hidden="false" customHeight="true" outlineLevel="0" collapsed="false">
      <c r="A114" s="109" t="s">
        <v>117</v>
      </c>
      <c r="B114" s="109"/>
      <c r="C114" s="109"/>
      <c r="D114" s="109"/>
      <c r="E114" s="109"/>
      <c r="F114" s="109"/>
      <c r="G114" s="109"/>
      <c r="H114" s="114" t="n">
        <v>0</v>
      </c>
      <c r="I114" s="228" t="n">
        <f aca="false">I112+I113</f>
        <v>7287.26825</v>
      </c>
      <c r="J114" s="113"/>
    </row>
    <row r="115" customFormat="false" ht="20.25" hidden="false" customHeight="true" outlineLevel="0" collapsed="false">
      <c r="A115" s="17" t="s">
        <v>10</v>
      </c>
      <c r="B115" s="83" t="s">
        <v>118</v>
      </c>
      <c r="C115" s="83"/>
      <c r="D115" s="83"/>
      <c r="E115" s="83"/>
      <c r="F115" s="83"/>
      <c r="G115" s="83"/>
      <c r="H115" s="112" t="n">
        <f aca="false">'Dom Pedrito 4.2'!H112</f>
        <v>0.0818</v>
      </c>
      <c r="I115" s="207" t="n">
        <f aca="false">ROUND(I114*H115,2)</f>
        <v>596.1</v>
      </c>
      <c r="J115" s="116"/>
    </row>
    <row r="116" customFormat="false" ht="49.5" hidden="false" customHeight="true" outlineLevel="0" collapsed="false">
      <c r="A116" s="109" t="s">
        <v>119</v>
      </c>
      <c r="B116" s="109"/>
      <c r="C116" s="109"/>
      <c r="D116" s="109"/>
      <c r="E116" s="109"/>
      <c r="F116" s="109"/>
      <c r="G116" s="109"/>
      <c r="H116" s="117" t="n">
        <v>0</v>
      </c>
      <c r="I116" s="231" t="n">
        <f aca="false">I114+I115</f>
        <v>7883.36825</v>
      </c>
      <c r="J116" s="116"/>
    </row>
    <row r="117" customFormat="false" ht="18.75" hidden="false" customHeight="true" outlineLevel="0" collapsed="false">
      <c r="A117" s="17" t="s">
        <v>12</v>
      </c>
      <c r="B117" s="83" t="s">
        <v>120</v>
      </c>
      <c r="C117" s="83"/>
      <c r="D117" s="83"/>
      <c r="E117" s="83"/>
      <c r="F117" s="83"/>
      <c r="G117" s="83"/>
      <c r="H117" s="119" t="s">
        <v>198</v>
      </c>
      <c r="I117" s="232" t="s">
        <v>198</v>
      </c>
      <c r="J117" s="116"/>
    </row>
    <row r="118" customFormat="false" ht="18" hidden="false" customHeight="true" outlineLevel="0" collapsed="false">
      <c r="A118" s="17"/>
      <c r="B118" s="83" t="s">
        <v>121</v>
      </c>
      <c r="C118" s="83"/>
      <c r="D118" s="83"/>
      <c r="E118" s="83"/>
      <c r="F118" s="83"/>
      <c r="G118" s="83"/>
      <c r="H118" s="119" t="s">
        <v>198</v>
      </c>
      <c r="I118" s="232" t="s">
        <v>198</v>
      </c>
    </row>
    <row r="119" customFormat="false" ht="33" hidden="false" customHeight="true" outlineLevel="0" collapsed="false">
      <c r="A119" s="17"/>
      <c r="B119" s="67" t="s">
        <v>199</v>
      </c>
      <c r="C119" s="67"/>
      <c r="D119" s="67"/>
      <c r="E119" s="67"/>
      <c r="F119" s="67"/>
      <c r="G119" s="67"/>
      <c r="H119" s="121" t="n">
        <v>0.03</v>
      </c>
      <c r="I119" s="207" t="n">
        <f aca="false">ROUND(($I$116/(1-H126))*H119,2)</f>
        <v>253.35</v>
      </c>
    </row>
    <row r="120" customFormat="false" ht="30.75" hidden="false" customHeight="true" outlineLevel="0" collapsed="false">
      <c r="A120" s="17"/>
      <c r="B120" s="67" t="s">
        <v>200</v>
      </c>
      <c r="C120" s="67"/>
      <c r="D120" s="67"/>
      <c r="E120" s="67"/>
      <c r="F120" s="67"/>
      <c r="G120" s="67"/>
      <c r="H120" s="121" t="n">
        <v>0.0065</v>
      </c>
      <c r="I120" s="207" t="n">
        <f aca="false">ROUND(($I$116/(1-H126))*H120,2)</f>
        <v>54.89</v>
      </c>
      <c r="K120" s="66"/>
    </row>
    <row r="121" customFormat="false" ht="31.5" hidden="false" customHeight="true" outlineLevel="0" collapsed="false">
      <c r="A121" s="17"/>
      <c r="B121" s="122" t="s">
        <v>124</v>
      </c>
      <c r="C121" s="122"/>
      <c r="D121" s="122"/>
      <c r="E121" s="122"/>
      <c r="F121" s="122"/>
      <c r="G121" s="122"/>
      <c r="H121" s="121" t="s">
        <v>198</v>
      </c>
      <c r="I121" s="232" t="s">
        <v>198</v>
      </c>
      <c r="K121" s="66"/>
    </row>
    <row r="122" customFormat="false" ht="14.25" hidden="false" customHeight="true" outlineLevel="0" collapsed="false">
      <c r="A122" s="17"/>
      <c r="B122" s="83" t="s">
        <v>125</v>
      </c>
      <c r="C122" s="83"/>
      <c r="D122" s="83"/>
      <c r="E122" s="83"/>
      <c r="F122" s="83"/>
      <c r="G122" s="83"/>
      <c r="H122" s="119" t="s">
        <v>198</v>
      </c>
      <c r="I122" s="232" t="s">
        <v>198</v>
      </c>
    </row>
    <row r="123" customFormat="false" ht="15.75" hidden="false" customHeight="true" outlineLevel="0" collapsed="false">
      <c r="A123" s="17"/>
      <c r="B123" s="83" t="s">
        <v>126</v>
      </c>
      <c r="C123" s="83"/>
      <c r="D123" s="83"/>
      <c r="E123" s="83"/>
      <c r="F123" s="83"/>
      <c r="G123" s="83"/>
      <c r="H123" s="119" t="s">
        <v>198</v>
      </c>
      <c r="I123" s="232" t="s">
        <v>198</v>
      </c>
      <c r="K123" s="66"/>
    </row>
    <row r="124" customFormat="false" ht="15.75" hidden="false" customHeight="true" outlineLevel="0" collapsed="false">
      <c r="A124" s="17"/>
      <c r="B124" s="52" t="s">
        <v>255</v>
      </c>
      <c r="C124" s="52"/>
      <c r="D124" s="52"/>
      <c r="E124" s="52"/>
      <c r="F124" s="52"/>
      <c r="G124" s="52"/>
      <c r="H124" s="124" t="n">
        <v>0.03</v>
      </c>
      <c r="I124" s="207" t="n">
        <f aca="false">ROUND(($I$116/(1-H126))*H124,2)</f>
        <v>253.35</v>
      </c>
    </row>
    <row r="125" customFormat="false" ht="18" hidden="false" customHeight="true" outlineLevel="0" collapsed="false">
      <c r="A125" s="125" t="s">
        <v>76</v>
      </c>
      <c r="B125" s="125"/>
      <c r="C125" s="125"/>
      <c r="D125" s="125"/>
      <c r="E125" s="125"/>
      <c r="F125" s="125"/>
      <c r="G125" s="125"/>
      <c r="H125" s="125"/>
      <c r="I125" s="234" t="n">
        <f aca="false">I113+I115+I119+I120+I124</f>
        <v>1942.53</v>
      </c>
    </row>
    <row r="126" customFormat="false" ht="18.75" hidden="false" customHeight="true" outlineLevel="0" collapsed="false">
      <c r="A126" s="127" t="s">
        <v>128</v>
      </c>
      <c r="B126" s="127"/>
      <c r="C126" s="127"/>
      <c r="D126" s="127"/>
      <c r="E126" s="127"/>
      <c r="F126" s="127"/>
      <c r="G126" s="127"/>
      <c r="H126" s="128" t="n">
        <f aca="false">SUM(H119:H124)</f>
        <v>0.0665</v>
      </c>
      <c r="I126" s="235" t="n">
        <f aca="false">SUM(I119+I120+I124)</f>
        <v>561.59</v>
      </c>
    </row>
    <row r="127" customFormat="false" ht="18" hidden="false" customHeight="true" outlineLevel="0" collapsed="false">
      <c r="A127" s="130" t="s">
        <v>129</v>
      </c>
      <c r="B127" s="130"/>
      <c r="C127" s="293" t="s">
        <v>130</v>
      </c>
      <c r="D127" s="293"/>
      <c r="E127" s="293"/>
      <c r="F127" s="293"/>
      <c r="G127" s="293"/>
      <c r="H127" s="293"/>
      <c r="I127" s="293"/>
    </row>
    <row r="128" customFormat="false" ht="18.75" hidden="false" customHeight="true" outlineLevel="0" collapsed="false">
      <c r="A128" s="130"/>
      <c r="B128" s="130"/>
      <c r="C128" s="294" t="s">
        <v>131</v>
      </c>
      <c r="D128" s="294"/>
      <c r="E128" s="294"/>
      <c r="F128" s="294"/>
      <c r="G128" s="294"/>
      <c r="H128" s="294"/>
      <c r="I128" s="294"/>
    </row>
    <row r="129" customFormat="false" ht="13.5" hidden="false" customHeight="true" outlineLevel="0" collapsed="false">
      <c r="A129" s="133" t="s">
        <v>132</v>
      </c>
      <c r="B129" s="133"/>
      <c r="C129" s="133"/>
      <c r="D129" s="133"/>
      <c r="E129" s="133"/>
      <c r="F129" s="133"/>
      <c r="G129" s="133"/>
      <c r="H129" s="133"/>
      <c r="I129" s="133"/>
    </row>
    <row r="130" customFormat="false" ht="18" hidden="false" customHeight="true" outlineLevel="0" collapsed="false">
      <c r="A130" s="94" t="s">
        <v>133</v>
      </c>
      <c r="B130" s="94"/>
      <c r="C130" s="94"/>
      <c r="D130" s="94"/>
      <c r="E130" s="94"/>
      <c r="F130" s="94"/>
      <c r="G130" s="94"/>
      <c r="H130" s="94"/>
      <c r="I130" s="94"/>
    </row>
    <row r="131" customFormat="false" ht="13.5" hidden="false" customHeight="true" outlineLevel="0" collapsed="false">
      <c r="A131" s="295"/>
      <c r="B131" s="295"/>
      <c r="C131" s="295"/>
      <c r="D131" s="295"/>
      <c r="E131" s="295"/>
      <c r="F131" s="295"/>
      <c r="G131" s="295"/>
      <c r="H131" s="295"/>
      <c r="I131" s="295"/>
    </row>
    <row r="132" customFormat="false" ht="17.25" hidden="false" customHeight="true" outlineLevel="0" collapsed="false">
      <c r="A132" s="33" t="s">
        <v>134</v>
      </c>
      <c r="B132" s="33"/>
      <c r="C132" s="33"/>
      <c r="D132" s="33"/>
      <c r="E132" s="33"/>
      <c r="F132" s="33"/>
      <c r="G132" s="33"/>
      <c r="H132" s="33"/>
      <c r="I132" s="33"/>
    </row>
    <row r="133" customFormat="false" ht="24" hidden="false" customHeight="true" outlineLevel="0" collapsed="false">
      <c r="A133" s="135" t="s">
        <v>135</v>
      </c>
      <c r="B133" s="135"/>
      <c r="C133" s="135"/>
      <c r="D133" s="135"/>
      <c r="E133" s="135"/>
      <c r="F133" s="135"/>
      <c r="G133" s="135"/>
      <c r="H133" s="135"/>
      <c r="I133" s="135"/>
    </row>
    <row r="134" customFormat="false" ht="30" hidden="false" customHeight="true" outlineLevel="0" collapsed="false">
      <c r="A134" s="136" t="s">
        <v>136</v>
      </c>
      <c r="B134" s="136"/>
      <c r="C134" s="136"/>
      <c r="D134" s="136"/>
      <c r="E134" s="136"/>
      <c r="F134" s="136"/>
      <c r="G134" s="136"/>
      <c r="H134" s="136"/>
      <c r="I134" s="313" t="s">
        <v>35</v>
      </c>
    </row>
    <row r="135" customFormat="false" ht="18" hidden="false" customHeight="true" outlineLevel="0" collapsed="false">
      <c r="A135" s="14" t="s">
        <v>8</v>
      </c>
      <c r="B135" s="15" t="s">
        <v>137</v>
      </c>
      <c r="C135" s="15"/>
      <c r="D135" s="15"/>
      <c r="E135" s="15"/>
      <c r="F135" s="15"/>
      <c r="G135" s="15"/>
      <c r="H135" s="15"/>
      <c r="I135" s="314" t="n">
        <f aca="false">I43</f>
        <v>3502.912</v>
      </c>
    </row>
    <row r="136" customFormat="false" ht="15" hidden="false" customHeight="true" outlineLevel="0" collapsed="false">
      <c r="A136" s="14" t="s">
        <v>10</v>
      </c>
      <c r="B136" s="15" t="s">
        <v>138</v>
      </c>
      <c r="C136" s="15"/>
      <c r="D136" s="15"/>
      <c r="E136" s="15"/>
      <c r="F136" s="15"/>
      <c r="G136" s="15"/>
      <c r="H136" s="15"/>
      <c r="I136" s="314" t="n">
        <f aca="false">I52</f>
        <v>449.38</v>
      </c>
    </row>
    <row r="137" customFormat="false" ht="15.75" hidden="false" customHeight="false" outlineLevel="0" collapsed="false">
      <c r="A137" s="14" t="s">
        <v>12</v>
      </c>
      <c r="B137" s="15" t="s">
        <v>139</v>
      </c>
      <c r="C137" s="15"/>
      <c r="D137" s="15"/>
      <c r="E137" s="15"/>
      <c r="F137" s="15"/>
      <c r="G137" s="15"/>
      <c r="H137" s="15"/>
      <c r="I137" s="315" t="n">
        <f aca="false">I57</f>
        <v>137.67625</v>
      </c>
    </row>
    <row r="138" customFormat="false" ht="17.25" hidden="false" customHeight="true" outlineLevel="0" collapsed="false">
      <c r="A138" s="14" t="s">
        <v>14</v>
      </c>
      <c r="B138" s="15" t="s">
        <v>109</v>
      </c>
      <c r="C138" s="15"/>
      <c r="D138" s="15"/>
      <c r="E138" s="15"/>
      <c r="F138" s="15"/>
      <c r="G138" s="15"/>
      <c r="H138" s="15"/>
      <c r="I138" s="314" t="n">
        <f aca="false">I109</f>
        <v>2412.46</v>
      </c>
    </row>
    <row r="139" customFormat="false" ht="15.75" hidden="false" customHeight="false" outlineLevel="0" collapsed="false">
      <c r="A139" s="140" t="s">
        <v>140</v>
      </c>
      <c r="B139" s="140"/>
      <c r="C139" s="140"/>
      <c r="D139" s="140"/>
      <c r="E139" s="140"/>
      <c r="F139" s="140"/>
      <c r="G139" s="140"/>
      <c r="H139" s="140"/>
      <c r="I139" s="316" t="n">
        <f aca="false">SUM(I135:I138)</f>
        <v>6502.42825</v>
      </c>
    </row>
    <row r="140" customFormat="false" ht="15.75" hidden="false" customHeight="false" outlineLevel="0" collapsed="false">
      <c r="A140" s="14" t="s">
        <v>40</v>
      </c>
      <c r="B140" s="15" t="s">
        <v>141</v>
      </c>
      <c r="C140" s="15"/>
      <c r="D140" s="15"/>
      <c r="E140" s="15"/>
      <c r="F140" s="15"/>
      <c r="G140" s="15"/>
      <c r="H140" s="15"/>
      <c r="I140" s="314" t="n">
        <f aca="false">I125</f>
        <v>1942.53</v>
      </c>
    </row>
    <row r="141" customFormat="false" ht="15.75" hidden="false" customHeight="false" outlineLevel="0" collapsed="false">
      <c r="A141" s="143" t="s">
        <v>142</v>
      </c>
      <c r="B141" s="143"/>
      <c r="C141" s="143"/>
      <c r="D141" s="143"/>
      <c r="E141" s="143"/>
      <c r="F141" s="143"/>
      <c r="G141" s="143"/>
      <c r="H141" s="143"/>
      <c r="I141" s="317" t="n">
        <f aca="false">SUM(I139+I140)</f>
        <v>8444.95825</v>
      </c>
    </row>
    <row r="142" customFormat="false" ht="15.75" hidden="false" customHeight="false" outlineLevel="0" collapsed="false">
      <c r="A142" s="301"/>
      <c r="B142" s="301"/>
      <c r="C142" s="301"/>
      <c r="D142" s="301"/>
      <c r="E142" s="301"/>
      <c r="F142" s="301"/>
      <c r="G142" s="301"/>
      <c r="H142" s="301"/>
      <c r="I142" s="301"/>
    </row>
    <row r="143" customFormat="false" ht="15.75" hidden="false" customHeight="false" outlineLevel="0" collapsed="false">
      <c r="A143" s="33" t="s">
        <v>143</v>
      </c>
      <c r="B143" s="33"/>
      <c r="C143" s="33"/>
      <c r="D143" s="33"/>
      <c r="E143" s="33"/>
      <c r="F143" s="33"/>
      <c r="G143" s="33"/>
      <c r="H143" s="33"/>
      <c r="I143" s="33"/>
    </row>
    <row r="144" customFormat="false" ht="15.75" hidden="false" customHeight="false" outlineLevel="0" collapsed="false">
      <c r="A144" s="146" t="s">
        <v>144</v>
      </c>
      <c r="B144" s="146"/>
      <c r="C144" s="146"/>
      <c r="D144" s="146"/>
      <c r="E144" s="146"/>
      <c r="F144" s="146"/>
      <c r="G144" s="146"/>
      <c r="H144" s="146"/>
      <c r="I144" s="146"/>
    </row>
    <row r="145" customFormat="false" ht="47.25" hidden="false" customHeight="true" outlineLevel="0" collapsed="false">
      <c r="A145" s="147" t="s">
        <v>145</v>
      </c>
      <c r="B145" s="147"/>
      <c r="C145" s="148" t="s">
        <v>146</v>
      </c>
      <c r="D145" s="148"/>
      <c r="E145" s="149" t="s">
        <v>147</v>
      </c>
      <c r="F145" s="148" t="s">
        <v>148</v>
      </c>
      <c r="G145" s="148"/>
      <c r="H145" s="148" t="s">
        <v>149</v>
      </c>
      <c r="I145" s="247" t="s">
        <v>150</v>
      </c>
    </row>
    <row r="146" customFormat="false" ht="26.25" hidden="false" customHeight="true" outlineLevel="0" collapsed="false">
      <c r="A146" s="151" t="s">
        <v>26</v>
      </c>
      <c r="B146" s="151"/>
      <c r="C146" s="152" t="n">
        <f aca="false">I141</f>
        <v>8444.95825</v>
      </c>
      <c r="D146" s="152"/>
      <c r="E146" s="153" t="n">
        <v>2</v>
      </c>
      <c r="F146" s="154" t="n">
        <f aca="false">C146</f>
        <v>8444.95825</v>
      </c>
      <c r="G146" s="154"/>
      <c r="H146" s="155" t="n">
        <v>2</v>
      </c>
      <c r="I146" s="253" t="n">
        <f aca="false">F146*H146</f>
        <v>16889.9165</v>
      </c>
    </row>
    <row r="147" customFormat="false" ht="15.75" hidden="false" customHeight="false" outlineLevel="0" collapsed="false">
      <c r="A147" s="301"/>
      <c r="B147" s="301"/>
      <c r="C147" s="301"/>
      <c r="D147" s="301"/>
      <c r="E147" s="301"/>
      <c r="F147" s="301"/>
      <c r="G147" s="301"/>
      <c r="H147" s="301"/>
      <c r="I147" s="301"/>
    </row>
    <row r="148" customFormat="false" ht="15.75" hidden="false" customHeight="false" outlineLevel="0" collapsed="false">
      <c r="A148" s="33" t="s">
        <v>151</v>
      </c>
      <c r="B148" s="33"/>
      <c r="C148" s="33"/>
      <c r="D148" s="33"/>
      <c r="E148" s="33"/>
      <c r="F148" s="33"/>
      <c r="G148" s="33"/>
      <c r="H148" s="33"/>
      <c r="I148" s="33"/>
    </row>
    <row r="149" customFormat="false" ht="15.75" hidden="false" customHeight="false" outlineLevel="0" collapsed="false">
      <c r="A149" s="146" t="s">
        <v>152</v>
      </c>
      <c r="B149" s="146"/>
      <c r="C149" s="146"/>
      <c r="D149" s="146"/>
      <c r="E149" s="146"/>
      <c r="F149" s="146"/>
      <c r="G149" s="146"/>
      <c r="H149" s="146"/>
      <c r="I149" s="146"/>
    </row>
    <row r="150" customFormat="false" ht="15.75" hidden="false" customHeight="false" outlineLevel="0" collapsed="false">
      <c r="A150" s="157" t="s">
        <v>153</v>
      </c>
      <c r="B150" s="157"/>
      <c r="C150" s="157"/>
      <c r="D150" s="157"/>
      <c r="E150" s="157"/>
      <c r="F150" s="157"/>
      <c r="G150" s="157"/>
      <c r="H150" s="157"/>
      <c r="I150" s="157"/>
    </row>
    <row r="151" customFormat="false" ht="15.75" hidden="false" customHeight="false" outlineLevel="0" collapsed="false">
      <c r="A151" s="158" t="s">
        <v>8</v>
      </c>
      <c r="B151" s="15" t="s">
        <v>154</v>
      </c>
      <c r="C151" s="15"/>
      <c r="D151" s="15"/>
      <c r="E151" s="15"/>
      <c r="F151" s="15"/>
      <c r="G151" s="15"/>
      <c r="H151" s="15"/>
      <c r="I151" s="318" t="n">
        <f aca="false">F146</f>
        <v>8444.95825</v>
      </c>
    </row>
    <row r="152" customFormat="false" ht="15.75" hidden="false" customHeight="false" outlineLevel="0" collapsed="false">
      <c r="A152" s="158" t="s">
        <v>10</v>
      </c>
      <c r="B152" s="15" t="s">
        <v>155</v>
      </c>
      <c r="C152" s="15"/>
      <c r="D152" s="15"/>
      <c r="E152" s="15"/>
      <c r="F152" s="15"/>
      <c r="G152" s="15"/>
      <c r="H152" s="15"/>
      <c r="I152" s="319" t="n">
        <f aca="false">I146</f>
        <v>16889.9165</v>
      </c>
    </row>
    <row r="153" customFormat="false" ht="16.5" hidden="false" customHeight="true" outlineLevel="0" collapsed="false">
      <c r="A153" s="161" t="s">
        <v>12</v>
      </c>
      <c r="B153" s="162" t="s">
        <v>156</v>
      </c>
      <c r="C153" s="162"/>
      <c r="D153" s="162"/>
      <c r="E153" s="162"/>
      <c r="F153" s="162"/>
      <c r="G153" s="162"/>
      <c r="H153" s="162"/>
      <c r="I153" s="320" t="n">
        <f aca="false">I152*12</f>
        <v>202678.998</v>
      </c>
    </row>
  </sheetData>
  <mergeCells count="158">
    <mergeCell ref="A8:I8"/>
    <mergeCell ref="A9:I9"/>
    <mergeCell ref="A10:I10"/>
    <mergeCell ref="A11:I11"/>
    <mergeCell ref="A12:I12"/>
    <mergeCell ref="A13:I13"/>
    <mergeCell ref="A14:I14"/>
    <mergeCell ref="B15:H15"/>
    <mergeCell ref="B16:H16"/>
    <mergeCell ref="B17:H17"/>
    <mergeCell ref="B18:H18"/>
    <mergeCell ref="A19:I19"/>
    <mergeCell ref="A20:D20"/>
    <mergeCell ref="E20:F20"/>
    <mergeCell ref="G20:I20"/>
    <mergeCell ref="A21:D21"/>
    <mergeCell ref="E21:F22"/>
    <mergeCell ref="G21:I22"/>
    <mergeCell ref="A22:D22"/>
    <mergeCell ref="B23:I23"/>
    <mergeCell ref="A24:I24"/>
    <mergeCell ref="A25:I25"/>
    <mergeCell ref="A26:I26"/>
    <mergeCell ref="B27:H27"/>
    <mergeCell ref="B28:H28"/>
    <mergeCell ref="B29:H29"/>
    <mergeCell ref="B30:H30"/>
    <mergeCell ref="B31:H31"/>
    <mergeCell ref="B32:H32"/>
    <mergeCell ref="B33:H33"/>
    <mergeCell ref="A34:I34"/>
    <mergeCell ref="A35:I35"/>
    <mergeCell ref="B36:H36"/>
    <mergeCell ref="B37:H37"/>
    <mergeCell ref="B38:H38"/>
    <mergeCell ref="B39:H39"/>
    <mergeCell ref="B40:H40"/>
    <mergeCell ref="B41:H41"/>
    <mergeCell ref="B42:H42"/>
    <mergeCell ref="A43:H43"/>
    <mergeCell ref="A44:I44"/>
    <mergeCell ref="B45:H45"/>
    <mergeCell ref="A46:A48"/>
    <mergeCell ref="B46:H46"/>
    <mergeCell ref="B47:G47"/>
    <mergeCell ref="B48:G48"/>
    <mergeCell ref="A49:A50"/>
    <mergeCell ref="B49:H49"/>
    <mergeCell ref="B50:G50"/>
    <mergeCell ref="B51:H51"/>
    <mergeCell ref="A52:H52"/>
    <mergeCell ref="A53:I53"/>
    <mergeCell ref="A54:I54"/>
    <mergeCell ref="B55:H55"/>
    <mergeCell ref="B56:H56"/>
    <mergeCell ref="A57:H57"/>
    <mergeCell ref="A58:I58"/>
    <mergeCell ref="A59:I59"/>
    <mergeCell ref="B60:G60"/>
    <mergeCell ref="B61:G61"/>
    <mergeCell ref="B62:G62"/>
    <mergeCell ref="B63:G63"/>
    <mergeCell ref="B64:G64"/>
    <mergeCell ref="B65:G65"/>
    <mergeCell ref="B66:G66"/>
    <mergeCell ref="B67:E67"/>
    <mergeCell ref="B68:G68"/>
    <mergeCell ref="A69:G69"/>
    <mergeCell ref="A70:I70"/>
    <mergeCell ref="A71:I71"/>
    <mergeCell ref="A72:I72"/>
    <mergeCell ref="B73:H73"/>
    <mergeCell ref="B74:H74"/>
    <mergeCell ref="A75:H75"/>
    <mergeCell ref="B76:H76"/>
    <mergeCell ref="A77:H77"/>
    <mergeCell ref="A78:I78"/>
    <mergeCell ref="B79:H79"/>
    <mergeCell ref="B80:H80"/>
    <mergeCell ref="B81:H81"/>
    <mergeCell ref="A82:H82"/>
    <mergeCell ref="A83:I83"/>
    <mergeCell ref="B84:H84"/>
    <mergeCell ref="B85:H85"/>
    <mergeCell ref="B86:H86"/>
    <mergeCell ref="B87:H87"/>
    <mergeCell ref="B88:H88"/>
    <mergeCell ref="B89:H89"/>
    <mergeCell ref="B90:H90"/>
    <mergeCell ref="A91:H91"/>
    <mergeCell ref="A92:I92"/>
    <mergeCell ref="B93:H93"/>
    <mergeCell ref="B94:H94"/>
    <mergeCell ref="B95:H95"/>
    <mergeCell ref="B96:H96"/>
    <mergeCell ref="B97:H97"/>
    <mergeCell ref="B98:H98"/>
    <mergeCell ref="A99:H99"/>
    <mergeCell ref="B100:H100"/>
    <mergeCell ref="A101:H101"/>
    <mergeCell ref="A102:I102"/>
    <mergeCell ref="B103:H103"/>
    <mergeCell ref="B104:H104"/>
    <mergeCell ref="B105:H105"/>
    <mergeCell ref="B106:H106"/>
    <mergeCell ref="B107:H107"/>
    <mergeCell ref="B108:H108"/>
    <mergeCell ref="A109:H109"/>
    <mergeCell ref="A110:I110"/>
    <mergeCell ref="B111:G111"/>
    <mergeCell ref="A112:G112"/>
    <mergeCell ref="B113:G113"/>
    <mergeCell ref="A114:G114"/>
    <mergeCell ref="B115:G115"/>
    <mergeCell ref="A116:G116"/>
    <mergeCell ref="A117:A124"/>
    <mergeCell ref="B117:G117"/>
    <mergeCell ref="B118:G118"/>
    <mergeCell ref="B119:G119"/>
    <mergeCell ref="B120:G120"/>
    <mergeCell ref="B121:G121"/>
    <mergeCell ref="B122:G122"/>
    <mergeCell ref="B123:G123"/>
    <mergeCell ref="B124:G124"/>
    <mergeCell ref="A125:H125"/>
    <mergeCell ref="A126:G126"/>
    <mergeCell ref="A127:B128"/>
    <mergeCell ref="C127:I127"/>
    <mergeCell ref="C128:I128"/>
    <mergeCell ref="A129:I129"/>
    <mergeCell ref="A130:I130"/>
    <mergeCell ref="A131:I131"/>
    <mergeCell ref="A132:I132"/>
    <mergeCell ref="A133:I133"/>
    <mergeCell ref="A134:H134"/>
    <mergeCell ref="B135:H135"/>
    <mergeCell ref="B136:H136"/>
    <mergeCell ref="B137:H137"/>
    <mergeCell ref="B138:H138"/>
    <mergeCell ref="A139:H139"/>
    <mergeCell ref="B140:H140"/>
    <mergeCell ref="A141:H141"/>
    <mergeCell ref="A142:I142"/>
    <mergeCell ref="A143:I143"/>
    <mergeCell ref="A144:I144"/>
    <mergeCell ref="A145:B145"/>
    <mergeCell ref="C145:D145"/>
    <mergeCell ref="F145:G145"/>
    <mergeCell ref="A146:B146"/>
    <mergeCell ref="C146:D146"/>
    <mergeCell ref="F146:G146"/>
    <mergeCell ref="A147:I147"/>
    <mergeCell ref="A148:I148"/>
    <mergeCell ref="A149:I149"/>
    <mergeCell ref="A150:I150"/>
    <mergeCell ref="B151:H151"/>
    <mergeCell ref="B152:H152"/>
    <mergeCell ref="B153:H153"/>
  </mergeCells>
  <printOptions headings="false" gridLines="false" gridLinesSet="true" horizontalCentered="false" verticalCentered="false"/>
  <pageMargins left="0.698611111111111" right="0.698611111111111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7" man="true" max="16383" min="0"/>
    <brk id="109" man="true" max="16383" min="0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N153"/>
  <sheetViews>
    <sheetView showFormulas="false" showGridLines="true" showRowColHeaders="true" showZeros="true" rightToLeft="false" tabSelected="false" showOutlineSymbols="true" defaultGridColor="true" view="pageBreakPreview" topLeftCell="A148" colorId="64" zoomScale="76" zoomScaleNormal="100" zoomScalePageLayoutView="76" workbookViewId="0">
      <selection pane="topLeft" activeCell="I42" activeCellId="0" sqref="I42"/>
    </sheetView>
  </sheetViews>
  <sheetFormatPr defaultRowHeight="15" zeroHeight="false" outlineLevelRow="0" outlineLevelCol="0"/>
  <cols>
    <col collapsed="false" customWidth="true" hidden="false" outlineLevel="0" max="1" min="1" style="1" width="17.29"/>
    <col collapsed="false" customWidth="true" hidden="false" outlineLevel="0" max="2" min="2" style="1" width="21.14"/>
    <col collapsed="false" customWidth="true" hidden="false" outlineLevel="0" max="3" min="3" style="1" width="22.7"/>
    <col collapsed="false" customWidth="true" hidden="false" outlineLevel="0" max="4" min="4" style="1" width="18.85"/>
    <col collapsed="false" customWidth="true" hidden="false" outlineLevel="0" max="5" min="5" style="1" width="17"/>
    <col collapsed="false" customWidth="true" hidden="false" outlineLevel="0" max="6" min="6" style="1" width="14.43"/>
    <col collapsed="false" customWidth="true" hidden="false" outlineLevel="0" max="7" min="7" style="1" width="18.42"/>
    <col collapsed="false" customWidth="true" hidden="false" outlineLevel="0" max="8" min="8" style="1" width="23.42"/>
    <col collapsed="false" customWidth="true" hidden="false" outlineLevel="0" max="9" min="9" style="1" width="45.14"/>
    <col collapsed="false" customWidth="true" hidden="true" outlineLevel="0" max="11" min="10" style="1" width="9"/>
    <col collapsed="false" customWidth="true" hidden="false" outlineLevel="0" max="12" min="12" style="1" width="58.57"/>
    <col collapsed="false" customWidth="true" hidden="false" outlineLevel="0" max="1025" min="13" style="1" width="28.57"/>
  </cols>
  <sheetData>
    <row r="1" s="101" customFormat="true" ht="15.75" hidden="false" customHeight="false" outlineLevel="0" collapsed="false">
      <c r="A1" s="173" t="s">
        <v>178</v>
      </c>
      <c r="I1" s="261"/>
    </row>
    <row r="2" s="101" customFormat="true" ht="15.75" hidden="false" customHeight="false" outlineLevel="0" collapsed="false">
      <c r="A2" s="173" t="s">
        <v>179</v>
      </c>
      <c r="I2" s="261"/>
    </row>
    <row r="3" s="101" customFormat="true" ht="15.75" hidden="false" customHeight="false" outlineLevel="0" collapsed="false">
      <c r="A3" s="173" t="s">
        <v>180</v>
      </c>
      <c r="I3" s="261"/>
    </row>
    <row r="4" s="101" customFormat="true" ht="15.75" hidden="false" customHeight="false" outlineLevel="0" collapsed="false">
      <c r="A4" s="173" t="s">
        <v>181</v>
      </c>
      <c r="I4" s="261"/>
    </row>
    <row r="5" s="101" customFormat="true" ht="15.75" hidden="false" customHeight="false" outlineLevel="0" collapsed="false">
      <c r="A5" s="173" t="s">
        <v>182</v>
      </c>
      <c r="I5" s="261"/>
    </row>
    <row r="6" s="101" customFormat="true" ht="15.75" hidden="false" customHeight="false" outlineLevel="0" collapsed="false">
      <c r="A6" s="173" t="s">
        <v>183</v>
      </c>
      <c r="I6" s="261"/>
    </row>
    <row r="7" customFormat="false" ht="15.75" hidden="false" customHeight="false" outlineLevel="0" collapsed="false">
      <c r="A7" s="174" t="s">
        <v>184</v>
      </c>
      <c r="I7" s="262"/>
    </row>
    <row r="8" customFormat="false" ht="15.75" hidden="false" customHeight="false" outlineLevel="0" collapsed="false">
      <c r="A8" s="263" t="s">
        <v>1</v>
      </c>
      <c r="B8" s="263"/>
      <c r="C8" s="263"/>
      <c r="D8" s="263"/>
      <c r="E8" s="263"/>
      <c r="F8" s="263"/>
      <c r="G8" s="263"/>
      <c r="H8" s="263"/>
      <c r="I8" s="263"/>
    </row>
    <row r="9" customFormat="false" ht="15.75" hidden="false" customHeight="false" outlineLevel="0" collapsed="false">
      <c r="A9" s="4" t="s">
        <v>2</v>
      </c>
      <c r="B9" s="4"/>
      <c r="C9" s="4"/>
      <c r="D9" s="4"/>
      <c r="E9" s="4"/>
      <c r="F9" s="4"/>
      <c r="G9" s="4"/>
      <c r="H9" s="4"/>
      <c r="I9" s="4"/>
    </row>
    <row r="10" customFormat="false" ht="15.75" hidden="false" customHeight="false" outlineLevel="0" collapsed="false">
      <c r="A10" s="5" t="s">
        <v>3</v>
      </c>
      <c r="B10" s="5"/>
      <c r="C10" s="5"/>
      <c r="D10" s="5"/>
      <c r="E10" s="5"/>
      <c r="F10" s="5"/>
      <c r="G10" s="5"/>
      <c r="H10" s="5"/>
      <c r="I10" s="5"/>
    </row>
    <row r="11" customFormat="false" ht="15.75" hidden="false" customHeight="false" outlineLevel="0" collapsed="false">
      <c r="A11" s="6" t="s">
        <v>4</v>
      </c>
      <c r="B11" s="6"/>
      <c r="C11" s="6"/>
      <c r="D11" s="6"/>
      <c r="E11" s="6"/>
      <c r="F11" s="6"/>
      <c r="G11" s="6"/>
      <c r="H11" s="6"/>
      <c r="I11" s="6"/>
    </row>
    <row r="12" customFormat="false" ht="15.75" hidden="false" customHeight="false" outlineLevel="0" collapsed="false">
      <c r="A12" s="7" t="s">
        <v>5</v>
      </c>
      <c r="B12" s="7"/>
      <c r="C12" s="7"/>
      <c r="D12" s="7"/>
      <c r="E12" s="7"/>
      <c r="F12" s="7"/>
      <c r="G12" s="7"/>
      <c r="H12" s="7"/>
      <c r="I12" s="7"/>
    </row>
    <row r="13" customFormat="false" ht="15.75" hidden="false" customHeight="false" outlineLevel="0" collapsed="false">
      <c r="A13" s="8" t="s">
        <v>6</v>
      </c>
      <c r="B13" s="8"/>
      <c r="C13" s="8"/>
      <c r="D13" s="8"/>
      <c r="E13" s="8"/>
      <c r="F13" s="8"/>
      <c r="G13" s="8"/>
      <c r="H13" s="8"/>
      <c r="I13" s="8"/>
    </row>
    <row r="14" customFormat="false" ht="15.75" hidden="false" customHeight="false" outlineLevel="0" collapsed="false">
      <c r="A14" s="179" t="s">
        <v>7</v>
      </c>
      <c r="B14" s="179"/>
      <c r="C14" s="179"/>
      <c r="D14" s="179"/>
      <c r="E14" s="179"/>
      <c r="F14" s="179"/>
      <c r="G14" s="179"/>
      <c r="H14" s="179"/>
      <c r="I14" s="179"/>
    </row>
    <row r="15" customFormat="false" ht="15.75" hidden="false" customHeight="false" outlineLevel="0" collapsed="false">
      <c r="A15" s="10" t="s">
        <v>8</v>
      </c>
      <c r="B15" s="11" t="s">
        <v>9</v>
      </c>
      <c r="C15" s="11"/>
      <c r="D15" s="11"/>
      <c r="E15" s="11"/>
      <c r="F15" s="11"/>
      <c r="G15" s="11"/>
      <c r="H15" s="11"/>
      <c r="I15" s="264"/>
      <c r="L15" s="13"/>
    </row>
    <row r="16" customFormat="false" ht="15.75" hidden="false" customHeight="false" outlineLevel="0" collapsed="false">
      <c r="A16" s="14" t="s">
        <v>10</v>
      </c>
      <c r="B16" s="15" t="s">
        <v>11</v>
      </c>
      <c r="C16" s="15"/>
      <c r="D16" s="15"/>
      <c r="E16" s="15"/>
      <c r="F16" s="15"/>
      <c r="G16" s="15"/>
      <c r="H16" s="15"/>
      <c r="I16" s="265" t="s">
        <v>259</v>
      </c>
      <c r="L16" s="13"/>
    </row>
    <row r="17" customFormat="false" ht="47.25" hidden="false" customHeight="true" outlineLevel="0" collapsed="false">
      <c r="A17" s="17" t="s">
        <v>12</v>
      </c>
      <c r="B17" s="18" t="s">
        <v>13</v>
      </c>
      <c r="C17" s="18"/>
      <c r="D17" s="18"/>
      <c r="E17" s="18"/>
      <c r="F17" s="18"/>
      <c r="G17" s="18"/>
      <c r="H17" s="18"/>
      <c r="I17" s="266" t="s">
        <v>186</v>
      </c>
      <c r="L17" s="13"/>
    </row>
    <row r="18" customFormat="false" ht="15.75" hidden="false" customHeight="false" outlineLevel="0" collapsed="false">
      <c r="A18" s="20" t="s">
        <v>14</v>
      </c>
      <c r="B18" s="21" t="s">
        <v>15</v>
      </c>
      <c r="C18" s="21"/>
      <c r="D18" s="21"/>
      <c r="E18" s="21"/>
      <c r="F18" s="21"/>
      <c r="G18" s="21"/>
      <c r="H18" s="21"/>
      <c r="I18" s="267" t="n">
        <v>12</v>
      </c>
    </row>
    <row r="19" customFormat="false" ht="15.75" hidden="false" customHeight="false" outlineLevel="0" collapsed="false">
      <c r="A19" s="179" t="s">
        <v>16</v>
      </c>
      <c r="B19" s="179"/>
      <c r="C19" s="179"/>
      <c r="D19" s="179"/>
      <c r="E19" s="179"/>
      <c r="F19" s="179"/>
      <c r="G19" s="179"/>
      <c r="H19" s="179"/>
      <c r="I19" s="179"/>
    </row>
    <row r="20" customFormat="false" ht="15.75" hidden="false" customHeight="false" outlineLevel="0" collapsed="false">
      <c r="A20" s="23" t="s">
        <v>17</v>
      </c>
      <c r="B20" s="23"/>
      <c r="C20" s="23"/>
      <c r="D20" s="23"/>
      <c r="E20" s="24" t="s">
        <v>18</v>
      </c>
      <c r="F20" s="24"/>
      <c r="G20" s="25" t="s">
        <v>19</v>
      </c>
      <c r="H20" s="25"/>
      <c r="I20" s="25"/>
    </row>
    <row r="21" customFormat="false" ht="15.75" hidden="false" customHeight="true" outlineLevel="0" collapsed="false">
      <c r="A21" s="26" t="s">
        <v>20</v>
      </c>
      <c r="B21" s="26"/>
      <c r="C21" s="26"/>
      <c r="D21" s="26"/>
      <c r="E21" s="27" t="s">
        <v>21</v>
      </c>
      <c r="F21" s="27"/>
      <c r="G21" s="28" t="n">
        <v>4</v>
      </c>
      <c r="H21" s="28"/>
      <c r="I21" s="28"/>
    </row>
    <row r="22" customFormat="false" ht="32.25" hidden="false" customHeight="true" outlineLevel="0" collapsed="false">
      <c r="A22" s="340" t="s">
        <v>217</v>
      </c>
      <c r="B22" s="340"/>
      <c r="C22" s="340"/>
      <c r="D22" s="340"/>
      <c r="E22" s="27"/>
      <c r="F22" s="27"/>
      <c r="G22" s="28"/>
      <c r="H22" s="28"/>
      <c r="I22" s="28"/>
      <c r="L22" s="30"/>
    </row>
    <row r="23" customFormat="false" ht="15.75" hidden="false" customHeight="false" outlineLevel="0" collapsed="false">
      <c r="A23" s="31"/>
      <c r="B23" s="269"/>
      <c r="C23" s="269"/>
      <c r="D23" s="269"/>
      <c r="E23" s="269"/>
      <c r="F23" s="269"/>
      <c r="G23" s="269"/>
      <c r="H23" s="269"/>
      <c r="I23" s="269"/>
    </row>
    <row r="24" customFormat="false" ht="15.75" hidden="false" customHeight="false" outlineLevel="0" collapsed="false">
      <c r="A24" s="33" t="s">
        <v>22</v>
      </c>
      <c r="B24" s="33"/>
      <c r="C24" s="33"/>
      <c r="D24" s="33"/>
      <c r="E24" s="33"/>
      <c r="F24" s="33"/>
      <c r="G24" s="33"/>
      <c r="H24" s="33"/>
      <c r="I24" s="33"/>
    </row>
    <row r="25" customFormat="false" ht="15.75" hidden="false" customHeight="false" outlineLevel="0" collapsed="false">
      <c r="A25" s="34" t="s">
        <v>23</v>
      </c>
      <c r="B25" s="34"/>
      <c r="C25" s="34"/>
      <c r="D25" s="34"/>
      <c r="E25" s="34"/>
      <c r="F25" s="34"/>
      <c r="G25" s="34"/>
      <c r="H25" s="34"/>
      <c r="I25" s="34"/>
    </row>
    <row r="26" customFormat="false" ht="15.75" hidden="false" customHeight="false" outlineLevel="0" collapsed="false">
      <c r="A26" s="35" t="s">
        <v>24</v>
      </c>
      <c r="B26" s="35"/>
      <c r="C26" s="35"/>
      <c r="D26" s="35"/>
      <c r="E26" s="35"/>
      <c r="F26" s="35"/>
      <c r="G26" s="35"/>
      <c r="H26" s="35"/>
      <c r="I26" s="35"/>
    </row>
    <row r="27" customFormat="false" ht="15.75" hidden="false" customHeight="true" outlineLevel="0" collapsed="false">
      <c r="A27" s="14" t="n">
        <v>1</v>
      </c>
      <c r="B27" s="36" t="s">
        <v>25</v>
      </c>
      <c r="C27" s="36"/>
      <c r="D27" s="36"/>
      <c r="E27" s="36"/>
      <c r="F27" s="36"/>
      <c r="G27" s="36"/>
      <c r="H27" s="36"/>
      <c r="I27" s="266" t="s">
        <v>26</v>
      </c>
    </row>
    <row r="28" customFormat="false" ht="15.75" hidden="false" customHeight="true" outlineLevel="0" collapsed="false">
      <c r="A28" s="14" t="n">
        <v>2</v>
      </c>
      <c r="B28" s="38" t="s">
        <v>27</v>
      </c>
      <c r="C28" s="38"/>
      <c r="D28" s="38"/>
      <c r="E28" s="38"/>
      <c r="F28" s="38"/>
      <c r="G28" s="38"/>
      <c r="H28" s="38"/>
      <c r="I28" s="265" t="n">
        <f aca="false">Dados!B2</f>
        <v>1305.17</v>
      </c>
    </row>
    <row r="29" customFormat="false" ht="15.75" hidden="false" customHeight="true" outlineLevel="0" collapsed="false">
      <c r="A29" s="14" t="n">
        <v>3</v>
      </c>
      <c r="B29" s="38" t="s">
        <v>28</v>
      </c>
      <c r="C29" s="38"/>
      <c r="D29" s="38"/>
      <c r="E29" s="38"/>
      <c r="F29" s="38"/>
      <c r="G29" s="38"/>
      <c r="H29" s="38"/>
      <c r="I29" s="265" t="s">
        <v>188</v>
      </c>
    </row>
    <row r="30" customFormat="false" ht="15.75" hidden="false" customHeight="true" outlineLevel="0" collapsed="false">
      <c r="A30" s="40" t="n">
        <v>4</v>
      </c>
      <c r="B30" s="329" t="s">
        <v>29</v>
      </c>
      <c r="C30" s="329"/>
      <c r="D30" s="329"/>
      <c r="E30" s="329"/>
      <c r="F30" s="329"/>
      <c r="G30" s="329"/>
      <c r="H30" s="329"/>
      <c r="I30" s="270" t="n">
        <v>42005</v>
      </c>
    </row>
    <row r="31" customFormat="false" ht="15.75" hidden="false" customHeight="true" outlineLevel="0" collapsed="false">
      <c r="A31" s="40" t="n">
        <v>5</v>
      </c>
      <c r="B31" s="38" t="s">
        <v>30</v>
      </c>
      <c r="C31" s="38"/>
      <c r="D31" s="38"/>
      <c r="E31" s="38"/>
      <c r="F31" s="38"/>
      <c r="G31" s="38"/>
      <c r="H31" s="38"/>
      <c r="I31" s="270" t="n">
        <f aca="false">I28/220</f>
        <v>5.93259090909091</v>
      </c>
    </row>
    <row r="32" customFormat="false" ht="15.75" hidden="false" customHeight="true" outlineLevel="0" collapsed="false">
      <c r="A32" s="40" t="n">
        <v>6</v>
      </c>
      <c r="B32" s="38" t="s">
        <v>31</v>
      </c>
      <c r="C32" s="38"/>
      <c r="D32" s="38"/>
      <c r="E32" s="38"/>
      <c r="F32" s="38"/>
      <c r="G32" s="38"/>
      <c r="H32" s="38"/>
      <c r="I32" s="311" t="n">
        <f aca="false">I31*1.5</f>
        <v>8.89888636363636</v>
      </c>
    </row>
    <row r="33" customFormat="false" ht="16.5" hidden="false" customHeight="true" outlineLevel="0" collapsed="false">
      <c r="A33" s="20" t="n">
        <v>7</v>
      </c>
      <c r="B33" s="44" t="s">
        <v>32</v>
      </c>
      <c r="C33" s="44"/>
      <c r="D33" s="44"/>
      <c r="E33" s="44"/>
      <c r="F33" s="44"/>
      <c r="G33" s="44"/>
      <c r="H33" s="44"/>
      <c r="I33" s="267" t="n">
        <f aca="false">I31*0.2</f>
        <v>1.18651818181818</v>
      </c>
    </row>
    <row r="34" customFormat="false" ht="15.75" hidden="false" customHeight="false" outlineLevel="0" collapsed="false">
      <c r="A34" s="271"/>
      <c r="B34" s="271"/>
      <c r="C34" s="271"/>
      <c r="D34" s="271"/>
      <c r="E34" s="271"/>
      <c r="F34" s="271"/>
      <c r="G34" s="271"/>
      <c r="H34" s="271"/>
      <c r="I34" s="271"/>
    </row>
    <row r="35" customFormat="false" ht="15.75" hidden="false" customHeight="false" outlineLevel="0" collapsed="false">
      <c r="A35" s="47" t="s">
        <v>33</v>
      </c>
      <c r="B35" s="47"/>
      <c r="C35" s="47"/>
      <c r="D35" s="47"/>
      <c r="E35" s="47"/>
      <c r="F35" s="47"/>
      <c r="G35" s="47"/>
      <c r="H35" s="47"/>
      <c r="I35" s="47"/>
    </row>
    <row r="36" customFormat="false" ht="15.75" hidden="false" customHeight="false" outlineLevel="0" collapsed="false">
      <c r="A36" s="48" t="n">
        <v>1</v>
      </c>
      <c r="B36" s="49" t="s">
        <v>34</v>
      </c>
      <c r="C36" s="49"/>
      <c r="D36" s="49"/>
      <c r="E36" s="49"/>
      <c r="F36" s="49"/>
      <c r="G36" s="49"/>
      <c r="H36" s="49"/>
      <c r="I36" s="272" t="s">
        <v>35</v>
      </c>
      <c r="L36" s="51"/>
    </row>
    <row r="37" customFormat="false" ht="15.75" hidden="false" customHeight="false" outlineLevel="0" collapsed="false">
      <c r="A37" s="17" t="s">
        <v>8</v>
      </c>
      <c r="B37" s="52" t="s">
        <v>36</v>
      </c>
      <c r="C37" s="52"/>
      <c r="D37" s="52"/>
      <c r="E37" s="52"/>
      <c r="F37" s="52"/>
      <c r="G37" s="52"/>
      <c r="H37" s="52"/>
      <c r="I37" s="273" t="n">
        <f aca="false">ROUND(I28*2,2)</f>
        <v>2610.34</v>
      </c>
      <c r="L37" s="51"/>
    </row>
    <row r="38" customFormat="false" ht="30.75" hidden="false" customHeight="true" outlineLevel="0" collapsed="false">
      <c r="A38" s="17" t="s">
        <v>10</v>
      </c>
      <c r="B38" s="54" t="s">
        <v>260</v>
      </c>
      <c r="C38" s="54"/>
      <c r="D38" s="54"/>
      <c r="E38" s="54"/>
      <c r="F38" s="54"/>
      <c r="G38" s="54"/>
      <c r="H38" s="54"/>
      <c r="I38" s="273" t="n">
        <f aca="false">ROUND((I32*21*2)+(I32*5*2*(15/60)),2)</f>
        <v>396</v>
      </c>
      <c r="L38" s="55"/>
    </row>
    <row r="39" customFormat="false" ht="32.25" hidden="false" customHeight="true" outlineLevel="0" collapsed="false">
      <c r="A39" s="17" t="s">
        <v>12</v>
      </c>
      <c r="B39" s="54" t="s">
        <v>219</v>
      </c>
      <c r="C39" s="54"/>
      <c r="D39" s="54"/>
      <c r="E39" s="54"/>
      <c r="F39" s="54"/>
      <c r="G39" s="54"/>
      <c r="H39" s="54"/>
      <c r="I39" s="273" t="n">
        <f aca="false">ROUND(I33*1*(60/52.5)*22,2)</f>
        <v>29.83</v>
      </c>
      <c r="L39" s="55"/>
    </row>
    <row r="40" customFormat="false" ht="34.5" hidden="false" customHeight="true" outlineLevel="0" collapsed="false">
      <c r="A40" s="17" t="s">
        <v>14</v>
      </c>
      <c r="B40" s="54" t="s">
        <v>220</v>
      </c>
      <c r="C40" s="54"/>
      <c r="D40" s="54"/>
      <c r="E40" s="54"/>
      <c r="F40" s="54"/>
      <c r="G40" s="54"/>
      <c r="H40" s="54"/>
      <c r="I40" s="273" t="n">
        <f aca="false">ROUND(I32*21*(60/52.5-1),2)</f>
        <v>26.7</v>
      </c>
      <c r="L40" s="55"/>
    </row>
    <row r="41" customFormat="false" ht="19.5" hidden="false" customHeight="true" outlineLevel="0" collapsed="false">
      <c r="A41" s="17" t="s">
        <v>40</v>
      </c>
      <c r="B41" s="74" t="s">
        <v>221</v>
      </c>
      <c r="C41" s="74"/>
      <c r="D41" s="74"/>
      <c r="E41" s="74"/>
      <c r="F41" s="74"/>
      <c r="G41" s="74"/>
      <c r="H41" s="74"/>
      <c r="I41" s="273" t="n">
        <f aca="false">ROUND(I32*2*10,2)</f>
        <v>177.98</v>
      </c>
      <c r="L41" s="57"/>
    </row>
    <row r="42" customFormat="false" ht="20.25" hidden="false" customHeight="true" outlineLevel="0" collapsed="false">
      <c r="A42" s="274" t="s">
        <v>42</v>
      </c>
      <c r="B42" s="58" t="s">
        <v>43</v>
      </c>
      <c r="C42" s="58"/>
      <c r="D42" s="58"/>
      <c r="E42" s="58"/>
      <c r="F42" s="58"/>
      <c r="G42" s="58"/>
      <c r="H42" s="58"/>
      <c r="I42" s="336" t="n">
        <f aca="false">SUM(I38:I41)*0.2</f>
        <v>126.102</v>
      </c>
      <c r="K42" s="59"/>
    </row>
    <row r="43" customFormat="false" ht="18.75" hidden="false" customHeight="true" outlineLevel="0" collapsed="false">
      <c r="A43" s="60" t="s">
        <v>44</v>
      </c>
      <c r="B43" s="60"/>
      <c r="C43" s="60"/>
      <c r="D43" s="60"/>
      <c r="E43" s="60"/>
      <c r="F43" s="60"/>
      <c r="G43" s="60"/>
      <c r="H43" s="60"/>
      <c r="I43" s="275" t="n">
        <f aca="false">SUM(I37:I42)</f>
        <v>3366.952</v>
      </c>
    </row>
    <row r="44" customFormat="false" ht="15.75" hidden="false" customHeight="false" outlineLevel="0" collapsed="false">
      <c r="A44" s="47" t="s">
        <v>45</v>
      </c>
      <c r="B44" s="47"/>
      <c r="C44" s="47"/>
      <c r="D44" s="47"/>
      <c r="E44" s="47"/>
      <c r="F44" s="47"/>
      <c r="G44" s="47"/>
      <c r="H44" s="47"/>
      <c r="I44" s="47"/>
    </row>
    <row r="45" customFormat="false" ht="15.75" hidden="false" customHeight="false" outlineLevel="0" collapsed="false">
      <c r="A45" s="62" t="n">
        <v>2</v>
      </c>
      <c r="B45" s="63" t="s">
        <v>46</v>
      </c>
      <c r="C45" s="63"/>
      <c r="D45" s="63"/>
      <c r="E45" s="63"/>
      <c r="F45" s="63"/>
      <c r="G45" s="63"/>
      <c r="H45" s="63"/>
      <c r="I45" s="272" t="s">
        <v>35</v>
      </c>
    </row>
    <row r="46" customFormat="false" ht="22.5" hidden="false" customHeight="true" outlineLevel="0" collapsed="false">
      <c r="A46" s="64" t="s">
        <v>8</v>
      </c>
      <c r="B46" s="54" t="s">
        <v>206</v>
      </c>
      <c r="C46" s="54"/>
      <c r="D46" s="54"/>
      <c r="E46" s="54"/>
      <c r="F46" s="54"/>
      <c r="G46" s="54"/>
      <c r="H46" s="54"/>
      <c r="I46" s="279" t="n">
        <f aca="false">ROUND((2*H48*H47*26)-(0.06*I37),2)</f>
        <v>155.38</v>
      </c>
      <c r="L46" s="66"/>
    </row>
    <row r="47" customFormat="false" ht="31.5" hidden="false" customHeight="true" outlineLevel="0" collapsed="false">
      <c r="A47" s="64"/>
      <c r="B47" s="277" t="s">
        <v>261</v>
      </c>
      <c r="C47" s="277"/>
      <c r="D47" s="277"/>
      <c r="E47" s="277"/>
      <c r="F47" s="277"/>
      <c r="G47" s="277"/>
      <c r="H47" s="213" t="n">
        <f aca="false">Dados!B14</f>
        <v>3</v>
      </c>
      <c r="I47" s="279"/>
    </row>
    <row r="48" customFormat="false" ht="15.75" hidden="false" customHeight="false" outlineLevel="0" collapsed="false">
      <c r="A48" s="64"/>
      <c r="B48" s="69" t="s">
        <v>49</v>
      </c>
      <c r="C48" s="69"/>
      <c r="D48" s="69"/>
      <c r="E48" s="69"/>
      <c r="F48" s="69"/>
      <c r="G48" s="69"/>
      <c r="H48" s="70" t="n">
        <v>2</v>
      </c>
      <c r="I48" s="279"/>
    </row>
    <row r="49" customFormat="false" ht="15.75" hidden="false" customHeight="true" outlineLevel="0" collapsed="false">
      <c r="A49" s="64" t="s">
        <v>10</v>
      </c>
      <c r="B49" s="54" t="s">
        <v>50</v>
      </c>
      <c r="C49" s="54"/>
      <c r="D49" s="54"/>
      <c r="E49" s="54"/>
      <c r="F49" s="54"/>
      <c r="G49" s="54"/>
      <c r="H49" s="54"/>
      <c r="I49" s="279" t="n">
        <f aca="false">ROUND(((2*21*H50)+(2*5*Dados!B4))*(1-0.18),2)</f>
        <v>644.73</v>
      </c>
    </row>
    <row r="50" customFormat="false" ht="15.75" hidden="false" customHeight="false" outlineLevel="0" collapsed="false">
      <c r="A50" s="64"/>
      <c r="B50" s="69" t="s">
        <v>51</v>
      </c>
      <c r="C50" s="69"/>
      <c r="D50" s="69"/>
      <c r="E50" s="69"/>
      <c r="F50" s="69"/>
      <c r="G50" s="69"/>
      <c r="H50" s="280" t="n">
        <f aca="false">Dados!B3</f>
        <v>16.73</v>
      </c>
      <c r="I50" s="281"/>
    </row>
    <row r="51" customFormat="false" ht="30.75" hidden="false" customHeight="true" outlineLevel="0" collapsed="false">
      <c r="A51" s="17" t="s">
        <v>12</v>
      </c>
      <c r="B51" s="58" t="s">
        <v>194</v>
      </c>
      <c r="C51" s="58"/>
      <c r="D51" s="58"/>
      <c r="E51" s="58"/>
      <c r="F51" s="58"/>
      <c r="G51" s="58"/>
      <c r="H51" s="58"/>
      <c r="I51" s="279" t="n">
        <f aca="false">ROUND(Dados!B5*2,2)</f>
        <v>30.04</v>
      </c>
    </row>
    <row r="52" customFormat="false" ht="18" hidden="false" customHeight="true" outlineLevel="0" collapsed="false">
      <c r="A52" s="60" t="s">
        <v>53</v>
      </c>
      <c r="B52" s="60"/>
      <c r="C52" s="60"/>
      <c r="D52" s="60"/>
      <c r="E52" s="60"/>
      <c r="F52" s="60"/>
      <c r="G52" s="60"/>
      <c r="H52" s="60"/>
      <c r="I52" s="275" t="n">
        <f aca="false">SUM(I46:I51)</f>
        <v>830.15</v>
      </c>
    </row>
    <row r="53" customFormat="false" ht="15.75" hidden="false" customHeight="false" outlineLevel="0" collapsed="false">
      <c r="A53" s="73" t="s">
        <v>54</v>
      </c>
      <c r="B53" s="73"/>
      <c r="C53" s="73"/>
      <c r="D53" s="73"/>
      <c r="E53" s="73"/>
      <c r="F53" s="73"/>
      <c r="G53" s="73"/>
      <c r="H53" s="73"/>
      <c r="I53" s="73"/>
    </row>
    <row r="54" customFormat="false" ht="15.75" hidden="false" customHeight="false" outlineLevel="0" collapsed="false">
      <c r="A54" s="47" t="s">
        <v>55</v>
      </c>
      <c r="B54" s="47"/>
      <c r="C54" s="47"/>
      <c r="D54" s="47"/>
      <c r="E54" s="47"/>
      <c r="F54" s="47"/>
      <c r="G54" s="47"/>
      <c r="H54" s="47"/>
      <c r="I54" s="47"/>
    </row>
    <row r="55" customFormat="false" ht="15.75" hidden="false" customHeight="false" outlineLevel="0" collapsed="false">
      <c r="A55" s="62" t="n">
        <v>3</v>
      </c>
      <c r="B55" s="63" t="s">
        <v>56</v>
      </c>
      <c r="C55" s="63"/>
      <c r="D55" s="63"/>
      <c r="E55" s="63"/>
      <c r="F55" s="63"/>
      <c r="G55" s="63"/>
      <c r="H55" s="63"/>
      <c r="I55" s="272" t="s">
        <v>35</v>
      </c>
    </row>
    <row r="56" customFormat="false" ht="15.75" hidden="false" customHeight="false" outlineLevel="0" collapsed="false">
      <c r="A56" s="64" t="s">
        <v>8</v>
      </c>
      <c r="B56" s="74" t="s">
        <v>233</v>
      </c>
      <c r="C56" s="74"/>
      <c r="D56" s="74"/>
      <c r="E56" s="74"/>
      <c r="F56" s="74"/>
      <c r="G56" s="74"/>
      <c r="H56" s="74"/>
      <c r="I56" s="282" t="n">
        <f aca="false">Dados!D6*2</f>
        <v>137.67625</v>
      </c>
      <c r="J56" s="76"/>
      <c r="K56" s="77"/>
    </row>
    <row r="57" customFormat="false" ht="20.25" hidden="false" customHeight="true" outlineLevel="0" collapsed="false">
      <c r="A57" s="60" t="s">
        <v>58</v>
      </c>
      <c r="B57" s="60"/>
      <c r="C57" s="60"/>
      <c r="D57" s="60"/>
      <c r="E57" s="60"/>
      <c r="F57" s="60"/>
      <c r="G57" s="60"/>
      <c r="H57" s="60"/>
      <c r="I57" s="283" t="n">
        <f aca="false">SUM(I56:I56)</f>
        <v>137.67625</v>
      </c>
    </row>
    <row r="58" customFormat="false" ht="15.75" hidden="false" customHeight="false" outlineLevel="0" collapsed="false">
      <c r="A58" s="47" t="s">
        <v>59</v>
      </c>
      <c r="B58" s="47"/>
      <c r="C58" s="47"/>
      <c r="D58" s="47"/>
      <c r="E58" s="47"/>
      <c r="F58" s="47"/>
      <c r="G58" s="47"/>
      <c r="H58" s="47"/>
      <c r="I58" s="47"/>
    </row>
    <row r="59" customFormat="false" ht="15.75" hidden="false" customHeight="false" outlineLevel="0" collapsed="false">
      <c r="A59" s="79" t="s">
        <v>60</v>
      </c>
      <c r="B59" s="79"/>
      <c r="C59" s="79"/>
      <c r="D59" s="79"/>
      <c r="E59" s="79"/>
      <c r="F59" s="79"/>
      <c r="G59" s="79"/>
      <c r="H59" s="79"/>
      <c r="I59" s="79"/>
    </row>
    <row r="60" customFormat="false" ht="15.75" hidden="false" customHeight="false" outlineLevel="0" collapsed="false">
      <c r="A60" s="62" t="s">
        <v>61</v>
      </c>
      <c r="B60" s="80" t="s">
        <v>62</v>
      </c>
      <c r="C60" s="80"/>
      <c r="D60" s="80"/>
      <c r="E60" s="80"/>
      <c r="F60" s="80"/>
      <c r="G60" s="80"/>
      <c r="H60" s="81" t="s">
        <v>63</v>
      </c>
      <c r="I60" s="272" t="s">
        <v>35</v>
      </c>
    </row>
    <row r="61" customFormat="false" ht="15.75" hidden="false" customHeight="false" outlineLevel="0" collapsed="false">
      <c r="A61" s="82" t="s">
        <v>8</v>
      </c>
      <c r="B61" s="83" t="s">
        <v>64</v>
      </c>
      <c r="C61" s="83"/>
      <c r="D61" s="83"/>
      <c r="E61" s="83"/>
      <c r="F61" s="83"/>
      <c r="G61" s="83"/>
      <c r="H61" s="84" t="n">
        <v>0.2</v>
      </c>
      <c r="I61" s="273" t="n">
        <f aca="false">ROUND(($I$43-$I$38)*H61,2)</f>
        <v>594.19</v>
      </c>
      <c r="K61" s="66"/>
    </row>
    <row r="62" customFormat="false" ht="15.75" hidden="false" customHeight="false" outlineLevel="0" collapsed="false">
      <c r="A62" s="82" t="s">
        <v>10</v>
      </c>
      <c r="B62" s="83" t="s">
        <v>65</v>
      </c>
      <c r="C62" s="83"/>
      <c r="D62" s="83"/>
      <c r="E62" s="83"/>
      <c r="F62" s="83"/>
      <c r="G62" s="83"/>
      <c r="H62" s="85" t="n">
        <v>0.015</v>
      </c>
      <c r="I62" s="273" t="n">
        <f aca="false">ROUND(($I$43-$I$38)*H62,2)</f>
        <v>44.56</v>
      </c>
      <c r="K62" s="66"/>
    </row>
    <row r="63" customFormat="false" ht="15.75" hidden="false" customHeight="false" outlineLevel="0" collapsed="false">
      <c r="A63" s="82" t="s">
        <v>12</v>
      </c>
      <c r="B63" s="83" t="s">
        <v>66</v>
      </c>
      <c r="C63" s="83"/>
      <c r="D63" s="83"/>
      <c r="E63" s="83"/>
      <c r="F63" s="83"/>
      <c r="G63" s="83"/>
      <c r="H63" s="84" t="n">
        <v>0.01</v>
      </c>
      <c r="I63" s="273" t="n">
        <f aca="false">ROUND(($I$43-$I$38)*H63,2)</f>
        <v>29.71</v>
      </c>
      <c r="K63" s="66"/>
    </row>
    <row r="64" customFormat="false" ht="15.75" hidden="false" customHeight="false" outlineLevel="0" collapsed="false">
      <c r="A64" s="82" t="s">
        <v>14</v>
      </c>
      <c r="B64" s="83" t="s">
        <v>67</v>
      </c>
      <c r="C64" s="83"/>
      <c r="D64" s="83"/>
      <c r="E64" s="83"/>
      <c r="F64" s="83"/>
      <c r="G64" s="83"/>
      <c r="H64" s="86" t="n">
        <v>0.002</v>
      </c>
      <c r="I64" s="273" t="n">
        <f aca="false">ROUND(($I$43-$I$38)*H64,2)</f>
        <v>5.94</v>
      </c>
      <c r="K64" s="66"/>
    </row>
    <row r="65" customFormat="false" ht="15.75" hidden="false" customHeight="false" outlineLevel="0" collapsed="false">
      <c r="A65" s="82" t="s">
        <v>40</v>
      </c>
      <c r="B65" s="83" t="s">
        <v>68</v>
      </c>
      <c r="C65" s="83"/>
      <c r="D65" s="83"/>
      <c r="E65" s="83"/>
      <c r="F65" s="83"/>
      <c r="G65" s="83"/>
      <c r="H65" s="86" t="n">
        <v>0.025</v>
      </c>
      <c r="I65" s="273" t="n">
        <f aca="false">ROUND(($I$43-$I$38)*H65,2)</f>
        <v>74.27</v>
      </c>
      <c r="K65" s="66"/>
    </row>
    <row r="66" customFormat="false" ht="15.75" hidden="false" customHeight="false" outlineLevel="0" collapsed="false">
      <c r="A66" s="82" t="s">
        <v>42</v>
      </c>
      <c r="B66" s="83" t="s">
        <v>69</v>
      </c>
      <c r="C66" s="83"/>
      <c r="D66" s="83"/>
      <c r="E66" s="83"/>
      <c r="F66" s="83"/>
      <c r="G66" s="83"/>
      <c r="H66" s="84" t="n">
        <v>0.08</v>
      </c>
      <c r="I66" s="273" t="n">
        <f aca="false">ROUND(($I$43-$I$38)*H66,2)</f>
        <v>237.68</v>
      </c>
      <c r="K66" s="66"/>
    </row>
    <row r="67" customFormat="false" ht="15.75" hidden="false" customHeight="false" outlineLevel="0" collapsed="false">
      <c r="A67" s="82" t="s">
        <v>70</v>
      </c>
      <c r="B67" s="87" t="s">
        <v>71</v>
      </c>
      <c r="C67" s="87"/>
      <c r="D67" s="87"/>
      <c r="E67" s="87"/>
      <c r="F67" s="88" t="s">
        <v>72</v>
      </c>
      <c r="G67" s="89" t="s">
        <v>196</v>
      </c>
      <c r="H67" s="86" t="n">
        <v>0.015</v>
      </c>
      <c r="I67" s="273" t="n">
        <f aca="false">ROUND(($I$43-$I$38)*H67,2)</f>
        <v>44.56</v>
      </c>
      <c r="K67" s="66"/>
    </row>
    <row r="68" customFormat="false" ht="15.75" hidden="false" customHeight="false" outlineLevel="0" collapsed="false">
      <c r="A68" s="82" t="s">
        <v>74</v>
      </c>
      <c r="B68" s="83" t="s">
        <v>75</v>
      </c>
      <c r="C68" s="83"/>
      <c r="D68" s="83"/>
      <c r="E68" s="83"/>
      <c r="F68" s="83"/>
      <c r="G68" s="83"/>
      <c r="H68" s="86" t="n">
        <v>0.006</v>
      </c>
      <c r="I68" s="273" t="n">
        <f aca="false">ROUND(($I$43-$I$38)*H68,2)</f>
        <v>17.83</v>
      </c>
      <c r="K68" s="66"/>
    </row>
    <row r="69" customFormat="false" ht="15.75" hidden="false" customHeight="false" outlineLevel="0" collapsed="false">
      <c r="A69" s="90" t="s">
        <v>76</v>
      </c>
      <c r="B69" s="90"/>
      <c r="C69" s="90"/>
      <c r="D69" s="90"/>
      <c r="E69" s="90"/>
      <c r="F69" s="90"/>
      <c r="G69" s="90"/>
      <c r="H69" s="91" t="n">
        <f aca="false">SUM(H61:H68)</f>
        <v>0.353</v>
      </c>
      <c r="I69" s="284" t="n">
        <f aca="false">SUM(I61:I68)</f>
        <v>1048.74</v>
      </c>
      <c r="K69" s="66"/>
    </row>
    <row r="70" customFormat="false" ht="15.75" hidden="false" customHeight="false" outlineLevel="0" collapsed="false">
      <c r="A70" s="93" t="s">
        <v>77</v>
      </c>
      <c r="B70" s="93"/>
      <c r="C70" s="93"/>
      <c r="D70" s="93"/>
      <c r="E70" s="93"/>
      <c r="F70" s="93"/>
      <c r="G70" s="93"/>
      <c r="H70" s="93"/>
      <c r="I70" s="93"/>
    </row>
    <row r="71" customFormat="false" ht="15.75" hidden="false" customHeight="false" outlineLevel="0" collapsed="false">
      <c r="A71" s="94" t="s">
        <v>78</v>
      </c>
      <c r="B71" s="94"/>
      <c r="C71" s="94"/>
      <c r="D71" s="94"/>
      <c r="E71" s="94"/>
      <c r="F71" s="94"/>
      <c r="G71" s="94"/>
      <c r="H71" s="94"/>
      <c r="I71" s="94"/>
    </row>
    <row r="72" customFormat="false" ht="15.75" hidden="false" customHeight="false" outlineLevel="0" collapsed="false">
      <c r="A72" s="79" t="s">
        <v>79</v>
      </c>
      <c r="B72" s="79"/>
      <c r="C72" s="79"/>
      <c r="D72" s="79"/>
      <c r="E72" s="79"/>
      <c r="F72" s="79"/>
      <c r="G72" s="79"/>
      <c r="H72" s="79"/>
      <c r="I72" s="79"/>
    </row>
    <row r="73" customFormat="false" ht="15.75" hidden="false" customHeight="false" outlineLevel="0" collapsed="false">
      <c r="A73" s="62" t="s">
        <v>80</v>
      </c>
      <c r="B73" s="81" t="s">
        <v>81</v>
      </c>
      <c r="C73" s="81"/>
      <c r="D73" s="81"/>
      <c r="E73" s="81"/>
      <c r="F73" s="81"/>
      <c r="G73" s="81"/>
      <c r="H73" s="81"/>
      <c r="I73" s="272" t="s">
        <v>35</v>
      </c>
    </row>
    <row r="74" customFormat="false" ht="32.25" hidden="false" customHeight="true" outlineLevel="0" collapsed="false">
      <c r="A74" s="17" t="s">
        <v>8</v>
      </c>
      <c r="B74" s="95" t="s">
        <v>82</v>
      </c>
      <c r="C74" s="95"/>
      <c r="D74" s="95"/>
      <c r="E74" s="95"/>
      <c r="F74" s="95"/>
      <c r="G74" s="95"/>
      <c r="H74" s="95"/>
      <c r="I74" s="285" t="n">
        <f aca="false">ROUND(I43/12,2)</f>
        <v>280.58</v>
      </c>
      <c r="K74" s="66"/>
    </row>
    <row r="75" customFormat="false" ht="15.75" hidden="false" customHeight="false" outlineLevel="0" collapsed="false">
      <c r="A75" s="97" t="s">
        <v>83</v>
      </c>
      <c r="B75" s="97"/>
      <c r="C75" s="97"/>
      <c r="D75" s="97"/>
      <c r="E75" s="97"/>
      <c r="F75" s="97"/>
      <c r="G75" s="97"/>
      <c r="H75" s="97"/>
      <c r="I75" s="273" t="n">
        <f aca="false">SUM(I74:I74)</f>
        <v>280.58</v>
      </c>
      <c r="K75" s="66"/>
    </row>
    <row r="76" customFormat="false" ht="15.75" hidden="false" customHeight="false" outlineLevel="0" collapsed="false">
      <c r="A76" s="17" t="s">
        <v>10</v>
      </c>
      <c r="B76" s="83" t="s">
        <v>84</v>
      </c>
      <c r="C76" s="83"/>
      <c r="D76" s="83"/>
      <c r="E76" s="83"/>
      <c r="F76" s="83"/>
      <c r="G76" s="83"/>
      <c r="H76" s="83"/>
      <c r="I76" s="273" t="n">
        <f aca="false">ROUND(I75*H69,2)</f>
        <v>99.04</v>
      </c>
      <c r="K76" s="66"/>
    </row>
    <row r="77" customFormat="false" ht="15.75" hidden="false" customHeight="false" outlineLevel="0" collapsed="false">
      <c r="A77" s="60" t="s">
        <v>76</v>
      </c>
      <c r="B77" s="60"/>
      <c r="C77" s="60"/>
      <c r="D77" s="60"/>
      <c r="E77" s="60"/>
      <c r="F77" s="60"/>
      <c r="G77" s="60"/>
      <c r="H77" s="60"/>
      <c r="I77" s="275" t="n">
        <f aca="false">SUM(I75:I76)</f>
        <v>379.62</v>
      </c>
      <c r="K77" s="66"/>
    </row>
    <row r="78" customFormat="false" ht="15.75" hidden="false" customHeight="false" outlineLevel="0" collapsed="false">
      <c r="A78" s="79" t="s">
        <v>85</v>
      </c>
      <c r="B78" s="79"/>
      <c r="C78" s="79"/>
      <c r="D78" s="79"/>
      <c r="E78" s="79"/>
      <c r="F78" s="79"/>
      <c r="G78" s="79"/>
      <c r="H78" s="79"/>
      <c r="I78" s="79"/>
    </row>
    <row r="79" customFormat="false" ht="15.75" hidden="false" customHeight="false" outlineLevel="0" collapsed="false">
      <c r="A79" s="62" t="s">
        <v>86</v>
      </c>
      <c r="B79" s="81" t="s">
        <v>87</v>
      </c>
      <c r="C79" s="81"/>
      <c r="D79" s="81"/>
      <c r="E79" s="81"/>
      <c r="F79" s="81"/>
      <c r="G79" s="81"/>
      <c r="H79" s="81"/>
      <c r="I79" s="272" t="s">
        <v>35</v>
      </c>
    </row>
    <row r="80" customFormat="false" ht="15.75" hidden="false" customHeight="false" outlineLevel="0" collapsed="false">
      <c r="A80" s="17" t="s">
        <v>8</v>
      </c>
      <c r="B80" s="52" t="s">
        <v>88</v>
      </c>
      <c r="C80" s="52"/>
      <c r="D80" s="52"/>
      <c r="E80" s="52"/>
      <c r="F80" s="52"/>
      <c r="G80" s="52"/>
      <c r="H80" s="52"/>
      <c r="I80" s="282" t="n">
        <f aca="false">ROUND((((I43+I43/3)*(4/12))/12)*0.02,2)</f>
        <v>2.49</v>
      </c>
    </row>
    <row r="81" customFormat="false" ht="15.75" hidden="false" customHeight="false" outlineLevel="0" collapsed="false">
      <c r="A81" s="17" t="s">
        <v>10</v>
      </c>
      <c r="B81" s="83" t="s">
        <v>89</v>
      </c>
      <c r="C81" s="83"/>
      <c r="D81" s="83"/>
      <c r="E81" s="83"/>
      <c r="F81" s="83"/>
      <c r="G81" s="83"/>
      <c r="H81" s="83"/>
      <c r="I81" s="282" t="n">
        <f aca="false">ROUND(I80*H69,2)</f>
        <v>0.88</v>
      </c>
    </row>
    <row r="82" customFormat="false" ht="15.75" hidden="false" customHeight="false" outlineLevel="0" collapsed="false">
      <c r="A82" s="60" t="s">
        <v>76</v>
      </c>
      <c r="B82" s="60"/>
      <c r="C82" s="60"/>
      <c r="D82" s="60"/>
      <c r="E82" s="60"/>
      <c r="F82" s="60"/>
      <c r="G82" s="60"/>
      <c r="H82" s="60"/>
      <c r="I82" s="275" t="n">
        <f aca="false">SUM(I80:I81)</f>
        <v>3.37</v>
      </c>
    </row>
    <row r="83" customFormat="false" ht="15.75" hidden="false" customHeight="false" outlineLevel="0" collapsed="false">
      <c r="A83" s="79" t="s">
        <v>90</v>
      </c>
      <c r="B83" s="79"/>
      <c r="C83" s="79"/>
      <c r="D83" s="79"/>
      <c r="E83" s="79"/>
      <c r="F83" s="79"/>
      <c r="G83" s="79"/>
      <c r="H83" s="79"/>
      <c r="I83" s="79"/>
    </row>
    <row r="84" customFormat="false" ht="15.75" hidden="false" customHeight="false" outlineLevel="0" collapsed="false">
      <c r="A84" s="62" t="s">
        <v>91</v>
      </c>
      <c r="B84" s="81" t="s">
        <v>92</v>
      </c>
      <c r="C84" s="81"/>
      <c r="D84" s="81"/>
      <c r="E84" s="81"/>
      <c r="F84" s="81"/>
      <c r="G84" s="81"/>
      <c r="H84" s="81"/>
      <c r="I84" s="272" t="s">
        <v>35</v>
      </c>
    </row>
    <row r="85" customFormat="false" ht="25.5" hidden="false" customHeight="true" outlineLevel="0" collapsed="false">
      <c r="A85" s="17" t="s">
        <v>8</v>
      </c>
      <c r="B85" s="99" t="s">
        <v>93</v>
      </c>
      <c r="C85" s="99"/>
      <c r="D85" s="99"/>
      <c r="E85" s="99"/>
      <c r="F85" s="99"/>
      <c r="G85" s="99"/>
      <c r="H85" s="99"/>
      <c r="I85" s="273" t="n">
        <f aca="false">ROUND((I43/12)*(30/30)*0.05,2)</f>
        <v>14.03</v>
      </c>
    </row>
    <row r="86" customFormat="false" ht="15.75" hidden="false" customHeight="true" outlineLevel="0" collapsed="false">
      <c r="A86" s="17" t="s">
        <v>10</v>
      </c>
      <c r="B86" s="83" t="s">
        <v>94</v>
      </c>
      <c r="C86" s="83"/>
      <c r="D86" s="83"/>
      <c r="E86" s="83"/>
      <c r="F86" s="83"/>
      <c r="G86" s="83"/>
      <c r="H86" s="83"/>
      <c r="I86" s="273" t="n">
        <f aca="false">ROUND(I85*H66,2)</f>
        <v>1.12</v>
      </c>
    </row>
    <row r="87" customFormat="false" ht="49.5" hidden="false" customHeight="true" outlineLevel="0" collapsed="false">
      <c r="A87" s="17" t="s">
        <v>12</v>
      </c>
      <c r="B87" s="95" t="s">
        <v>95</v>
      </c>
      <c r="C87" s="95"/>
      <c r="D87" s="95"/>
      <c r="E87" s="95"/>
      <c r="F87" s="95"/>
      <c r="G87" s="95"/>
      <c r="H87" s="95"/>
      <c r="I87" s="285" t="n">
        <f aca="false">ROUND(0.0024*I43,2)</f>
        <v>8.08</v>
      </c>
      <c r="K87" s="66"/>
    </row>
    <row r="88" customFormat="false" ht="30.75" hidden="false" customHeight="true" outlineLevel="0" collapsed="false">
      <c r="A88" s="100" t="s">
        <v>14</v>
      </c>
      <c r="B88" s="99" t="s">
        <v>96</v>
      </c>
      <c r="C88" s="99"/>
      <c r="D88" s="99"/>
      <c r="E88" s="99"/>
      <c r="F88" s="99"/>
      <c r="G88" s="99"/>
      <c r="H88" s="99"/>
      <c r="I88" s="273" t="n">
        <v>0</v>
      </c>
      <c r="N88" s="101"/>
    </row>
    <row r="89" customFormat="false" ht="18" hidden="false" customHeight="true" outlineLevel="0" collapsed="false">
      <c r="A89" s="17" t="s">
        <v>40</v>
      </c>
      <c r="B89" s="83" t="s">
        <v>97</v>
      </c>
      <c r="C89" s="83"/>
      <c r="D89" s="83"/>
      <c r="E89" s="83"/>
      <c r="F89" s="83"/>
      <c r="G89" s="83"/>
      <c r="H89" s="83"/>
      <c r="I89" s="273" t="n">
        <f aca="false">ROUND(I88*H69,2)</f>
        <v>0</v>
      </c>
      <c r="J89" s="13"/>
      <c r="K89" s="13"/>
      <c r="L89" s="102"/>
    </row>
    <row r="90" customFormat="false" ht="48.75" hidden="false" customHeight="true" outlineLevel="0" collapsed="false">
      <c r="A90" s="17" t="s">
        <v>42</v>
      </c>
      <c r="B90" s="95" t="s">
        <v>98</v>
      </c>
      <c r="C90" s="95"/>
      <c r="D90" s="95"/>
      <c r="E90" s="95"/>
      <c r="F90" s="95"/>
      <c r="G90" s="95"/>
      <c r="H90" s="95"/>
      <c r="I90" s="285" t="n">
        <f aca="false">ROUND(0.0476*I43,2)</f>
        <v>160.27</v>
      </c>
      <c r="J90" s="13"/>
      <c r="K90" s="66"/>
      <c r="L90" s="13"/>
    </row>
    <row r="91" customFormat="false" ht="20.25" hidden="false" customHeight="true" outlineLevel="0" collapsed="false">
      <c r="A91" s="60" t="s">
        <v>76</v>
      </c>
      <c r="B91" s="60"/>
      <c r="C91" s="60"/>
      <c r="D91" s="60"/>
      <c r="E91" s="60"/>
      <c r="F91" s="60"/>
      <c r="G91" s="60"/>
      <c r="H91" s="60"/>
      <c r="I91" s="275" t="n">
        <f aca="false">SUM(I85:I90)</f>
        <v>183.5</v>
      </c>
    </row>
    <row r="92" customFormat="false" ht="20.25" hidden="false" customHeight="true" outlineLevel="0" collapsed="false">
      <c r="A92" s="79" t="s">
        <v>99</v>
      </c>
      <c r="B92" s="79"/>
      <c r="C92" s="79"/>
      <c r="D92" s="79"/>
      <c r="E92" s="79"/>
      <c r="F92" s="79"/>
      <c r="G92" s="79"/>
      <c r="H92" s="79"/>
      <c r="I92" s="79"/>
    </row>
    <row r="93" customFormat="false" ht="15.75" hidden="false" customHeight="false" outlineLevel="0" collapsed="false">
      <c r="A93" s="62" t="s">
        <v>100</v>
      </c>
      <c r="B93" s="81" t="s">
        <v>101</v>
      </c>
      <c r="C93" s="81"/>
      <c r="D93" s="81"/>
      <c r="E93" s="81"/>
      <c r="F93" s="81"/>
      <c r="G93" s="81"/>
      <c r="H93" s="81"/>
      <c r="I93" s="272" t="s">
        <v>35</v>
      </c>
    </row>
    <row r="94" customFormat="false" ht="49.5" hidden="false" customHeight="true" outlineLevel="0" collapsed="false">
      <c r="A94" s="17" t="s">
        <v>8</v>
      </c>
      <c r="B94" s="95" t="s">
        <v>102</v>
      </c>
      <c r="C94" s="95"/>
      <c r="D94" s="95"/>
      <c r="E94" s="95"/>
      <c r="F94" s="95"/>
      <c r="G94" s="95"/>
      <c r="H94" s="95"/>
      <c r="I94" s="285" t="n">
        <f aca="false">ROUND(0.121*I43,2)</f>
        <v>407.4</v>
      </c>
      <c r="K94" s="66"/>
    </row>
    <row r="95" customFormat="false" ht="17.25" hidden="false" customHeight="true" outlineLevel="0" collapsed="false">
      <c r="A95" s="17" t="s">
        <v>10</v>
      </c>
      <c r="B95" s="52" t="s">
        <v>103</v>
      </c>
      <c r="C95" s="52"/>
      <c r="D95" s="52"/>
      <c r="E95" s="52"/>
      <c r="F95" s="52"/>
      <c r="G95" s="52"/>
      <c r="H95" s="52"/>
      <c r="I95" s="273" t="n">
        <f aca="false">ROUND(((I43/30)*5)/12,2)</f>
        <v>46.76</v>
      </c>
    </row>
    <row r="96" customFormat="false" ht="16.5" hidden="false" customHeight="true" outlineLevel="0" collapsed="false">
      <c r="A96" s="17" t="s">
        <v>12</v>
      </c>
      <c r="B96" s="52" t="s">
        <v>104</v>
      </c>
      <c r="C96" s="52"/>
      <c r="D96" s="52"/>
      <c r="E96" s="52"/>
      <c r="F96" s="52"/>
      <c r="G96" s="52"/>
      <c r="H96" s="52"/>
      <c r="I96" s="273" t="n">
        <f aca="false">ROUND((((I43/30)*5)/12)*0.015,2)</f>
        <v>0.7</v>
      </c>
    </row>
    <row r="97" customFormat="false" ht="17.25" hidden="false" customHeight="true" outlineLevel="0" collapsed="false">
      <c r="A97" s="17" t="s">
        <v>14</v>
      </c>
      <c r="B97" s="52" t="s">
        <v>105</v>
      </c>
      <c r="C97" s="52"/>
      <c r="D97" s="52"/>
      <c r="E97" s="52"/>
      <c r="F97" s="52"/>
      <c r="G97" s="52"/>
      <c r="H97" s="52"/>
      <c r="I97" s="273" t="n">
        <f aca="false">ROUND(((I43/30)*2.96)/12,2)</f>
        <v>27.68</v>
      </c>
    </row>
    <row r="98" customFormat="false" ht="16.5" hidden="false" customHeight="true" outlineLevel="0" collapsed="false">
      <c r="A98" s="17" t="s">
        <v>40</v>
      </c>
      <c r="B98" s="52" t="s">
        <v>106</v>
      </c>
      <c r="C98" s="52"/>
      <c r="D98" s="52"/>
      <c r="E98" s="52"/>
      <c r="F98" s="52"/>
      <c r="G98" s="52"/>
      <c r="H98" s="52"/>
      <c r="I98" s="273" t="n">
        <f aca="false">ROUND((((I43/30)*15)/12)*0.0078,2)</f>
        <v>1.09</v>
      </c>
    </row>
    <row r="99" customFormat="false" ht="15.75" hidden="false" customHeight="false" outlineLevel="0" collapsed="false">
      <c r="A99" s="97" t="s">
        <v>83</v>
      </c>
      <c r="B99" s="97"/>
      <c r="C99" s="97"/>
      <c r="D99" s="97"/>
      <c r="E99" s="97"/>
      <c r="F99" s="97"/>
      <c r="G99" s="97"/>
      <c r="H99" s="97"/>
      <c r="I99" s="281" t="n">
        <f aca="false">SUM(I94:I98)</f>
        <v>483.63</v>
      </c>
      <c r="K99" s="66"/>
    </row>
    <row r="100" customFormat="false" ht="18" hidden="false" customHeight="true" outlineLevel="0" collapsed="false">
      <c r="A100" s="17" t="s">
        <v>70</v>
      </c>
      <c r="B100" s="83" t="s">
        <v>107</v>
      </c>
      <c r="C100" s="83"/>
      <c r="D100" s="83"/>
      <c r="E100" s="83"/>
      <c r="F100" s="83"/>
      <c r="G100" s="83"/>
      <c r="H100" s="83"/>
      <c r="I100" s="286" t="n">
        <f aca="false">ROUND(I99*H69,2)</f>
        <v>170.72</v>
      </c>
      <c r="K100" s="66"/>
    </row>
    <row r="101" customFormat="false" ht="15.75" hidden="false" customHeight="false" outlineLevel="0" collapsed="false">
      <c r="A101" s="60" t="s">
        <v>76</v>
      </c>
      <c r="B101" s="60"/>
      <c r="C101" s="60"/>
      <c r="D101" s="60"/>
      <c r="E101" s="60"/>
      <c r="F101" s="60"/>
      <c r="G101" s="60"/>
      <c r="H101" s="60"/>
      <c r="I101" s="275" t="n">
        <f aca="false">SUM(I99+I100)</f>
        <v>654.35</v>
      </c>
      <c r="K101" s="66"/>
    </row>
    <row r="102" customFormat="false" ht="15.75" hidden="false" customHeight="false" outlineLevel="0" collapsed="false">
      <c r="A102" s="104" t="s">
        <v>108</v>
      </c>
      <c r="B102" s="104"/>
      <c r="C102" s="104"/>
      <c r="D102" s="104"/>
      <c r="E102" s="104"/>
      <c r="F102" s="104"/>
      <c r="G102" s="104"/>
      <c r="H102" s="104"/>
      <c r="I102" s="104"/>
    </row>
    <row r="103" customFormat="false" ht="15.75" hidden="false" customHeight="false" outlineLevel="0" collapsed="false">
      <c r="A103" s="62" t="n">
        <v>4</v>
      </c>
      <c r="B103" s="81" t="s">
        <v>109</v>
      </c>
      <c r="C103" s="81"/>
      <c r="D103" s="81"/>
      <c r="E103" s="81"/>
      <c r="F103" s="81"/>
      <c r="G103" s="81"/>
      <c r="H103" s="81"/>
      <c r="I103" s="272" t="s">
        <v>35</v>
      </c>
    </row>
    <row r="104" customFormat="false" ht="15.75" hidden="false" customHeight="false" outlineLevel="0" collapsed="false">
      <c r="A104" s="17" t="s">
        <v>61</v>
      </c>
      <c r="B104" s="83" t="s">
        <v>62</v>
      </c>
      <c r="C104" s="83"/>
      <c r="D104" s="83"/>
      <c r="E104" s="83"/>
      <c r="F104" s="83"/>
      <c r="G104" s="83"/>
      <c r="H104" s="83"/>
      <c r="I104" s="282" t="n">
        <f aca="false">I69</f>
        <v>1048.74</v>
      </c>
    </row>
    <row r="105" customFormat="false" ht="15.75" hidden="false" customHeight="false" outlineLevel="0" collapsed="false">
      <c r="A105" s="17" t="s">
        <v>80</v>
      </c>
      <c r="B105" s="83" t="s">
        <v>110</v>
      </c>
      <c r="C105" s="83"/>
      <c r="D105" s="83"/>
      <c r="E105" s="83"/>
      <c r="F105" s="83"/>
      <c r="G105" s="83"/>
      <c r="H105" s="83"/>
      <c r="I105" s="282" t="n">
        <f aca="false">I77</f>
        <v>379.62</v>
      </c>
    </row>
    <row r="106" customFormat="false" ht="15.75" hidden="false" customHeight="false" outlineLevel="0" collapsed="false">
      <c r="A106" s="17" t="s">
        <v>86</v>
      </c>
      <c r="B106" s="83" t="s">
        <v>87</v>
      </c>
      <c r="C106" s="83"/>
      <c r="D106" s="83"/>
      <c r="E106" s="83"/>
      <c r="F106" s="83"/>
      <c r="G106" s="83"/>
      <c r="H106" s="83"/>
      <c r="I106" s="282" t="n">
        <f aca="false">I82</f>
        <v>3.37</v>
      </c>
    </row>
    <row r="107" customFormat="false" ht="15.75" hidden="false" customHeight="false" outlineLevel="0" collapsed="false">
      <c r="A107" s="17" t="s">
        <v>91</v>
      </c>
      <c r="B107" s="83" t="s">
        <v>111</v>
      </c>
      <c r="C107" s="83"/>
      <c r="D107" s="83"/>
      <c r="E107" s="83"/>
      <c r="F107" s="83"/>
      <c r="G107" s="83"/>
      <c r="H107" s="83"/>
      <c r="I107" s="282" t="n">
        <f aca="false">I91</f>
        <v>183.5</v>
      </c>
    </row>
    <row r="108" customFormat="false" ht="15.75" hidden="false" customHeight="false" outlineLevel="0" collapsed="false">
      <c r="A108" s="17" t="s">
        <v>100</v>
      </c>
      <c r="B108" s="83" t="s">
        <v>112</v>
      </c>
      <c r="C108" s="83"/>
      <c r="D108" s="83"/>
      <c r="E108" s="83"/>
      <c r="F108" s="83"/>
      <c r="G108" s="83"/>
      <c r="H108" s="83"/>
      <c r="I108" s="282" t="n">
        <f aca="false">I101</f>
        <v>654.35</v>
      </c>
    </row>
    <row r="109" customFormat="false" ht="15.75" hidden="false" customHeight="false" outlineLevel="0" collapsed="false">
      <c r="A109" s="60" t="s">
        <v>76</v>
      </c>
      <c r="B109" s="60"/>
      <c r="C109" s="60"/>
      <c r="D109" s="60"/>
      <c r="E109" s="60"/>
      <c r="F109" s="60"/>
      <c r="G109" s="60"/>
      <c r="H109" s="60"/>
      <c r="I109" s="275" t="n">
        <f aca="false">SUM(I104:I108)</f>
        <v>2269.58</v>
      </c>
      <c r="K109" s="106"/>
    </row>
    <row r="110" customFormat="false" ht="30.75" hidden="false" customHeight="true" outlineLevel="0" collapsed="false">
      <c r="A110" s="107" t="s">
        <v>113</v>
      </c>
      <c r="B110" s="107"/>
      <c r="C110" s="107"/>
      <c r="D110" s="107"/>
      <c r="E110" s="107"/>
      <c r="F110" s="107"/>
      <c r="G110" s="107"/>
      <c r="H110" s="107"/>
      <c r="I110" s="107"/>
    </row>
    <row r="111" customFormat="false" ht="15.75" hidden="false" customHeight="false" outlineLevel="0" collapsed="false">
      <c r="A111" s="62" t="n">
        <v>5</v>
      </c>
      <c r="B111" s="63" t="s">
        <v>114</v>
      </c>
      <c r="C111" s="63"/>
      <c r="D111" s="63"/>
      <c r="E111" s="63"/>
      <c r="F111" s="63"/>
      <c r="G111" s="63"/>
      <c r="H111" s="108" t="s">
        <v>63</v>
      </c>
      <c r="I111" s="272" t="s">
        <v>35</v>
      </c>
    </row>
    <row r="112" customFormat="false" ht="48" hidden="false" customHeight="true" outlineLevel="0" collapsed="false">
      <c r="A112" s="109" t="s">
        <v>115</v>
      </c>
      <c r="B112" s="109"/>
      <c r="C112" s="109"/>
      <c r="D112" s="109"/>
      <c r="E112" s="109"/>
      <c r="F112" s="109"/>
      <c r="G112" s="109"/>
      <c r="H112" s="110" t="n">
        <v>0</v>
      </c>
      <c r="I112" s="287" t="n">
        <f aca="false">(I43+I52+I57+I109)</f>
        <v>6604.35825</v>
      </c>
    </row>
    <row r="113" customFormat="false" ht="15.75" hidden="false" customHeight="false" outlineLevel="0" collapsed="false">
      <c r="A113" s="17" t="s">
        <v>8</v>
      </c>
      <c r="B113" s="83" t="s">
        <v>116</v>
      </c>
      <c r="C113" s="83"/>
      <c r="D113" s="83"/>
      <c r="E113" s="83"/>
      <c r="F113" s="83"/>
      <c r="G113" s="83"/>
      <c r="H113" s="112" t="n">
        <f aca="false">'Dom Pedrito 4.2'!H110</f>
        <v>0.1207</v>
      </c>
      <c r="I113" s="273" t="n">
        <f aca="false">ROUND(I112*H113,2)</f>
        <v>797.15</v>
      </c>
      <c r="J113" s="113"/>
    </row>
    <row r="114" customFormat="false" ht="51" hidden="false" customHeight="true" outlineLevel="0" collapsed="false">
      <c r="A114" s="109" t="s">
        <v>117</v>
      </c>
      <c r="B114" s="109"/>
      <c r="C114" s="109"/>
      <c r="D114" s="109"/>
      <c r="E114" s="109"/>
      <c r="F114" s="109"/>
      <c r="G114" s="109"/>
      <c r="H114" s="114" t="n">
        <v>0</v>
      </c>
      <c r="I114" s="288" t="n">
        <f aca="false">I112+I113</f>
        <v>7401.50825</v>
      </c>
      <c r="J114" s="113"/>
    </row>
    <row r="115" customFormat="false" ht="15.75" hidden="false" customHeight="false" outlineLevel="0" collapsed="false">
      <c r="A115" s="17" t="s">
        <v>10</v>
      </c>
      <c r="B115" s="83" t="s">
        <v>118</v>
      </c>
      <c r="C115" s="83"/>
      <c r="D115" s="83"/>
      <c r="E115" s="83"/>
      <c r="F115" s="83"/>
      <c r="G115" s="83"/>
      <c r="H115" s="112" t="n">
        <f aca="false">'Dom Pedrito 4.2'!H112</f>
        <v>0.0818</v>
      </c>
      <c r="I115" s="273" t="n">
        <f aca="false">ROUND(I114*H115,2)</f>
        <v>605.44</v>
      </c>
      <c r="J115" s="116"/>
    </row>
    <row r="116" customFormat="false" ht="53.25" hidden="false" customHeight="true" outlineLevel="0" collapsed="false">
      <c r="A116" s="109" t="s">
        <v>119</v>
      </c>
      <c r="B116" s="109"/>
      <c r="C116" s="109"/>
      <c r="D116" s="109"/>
      <c r="E116" s="109"/>
      <c r="F116" s="109"/>
      <c r="G116" s="109"/>
      <c r="H116" s="117" t="n">
        <v>0</v>
      </c>
      <c r="I116" s="289" t="n">
        <f aca="false">I114+I115</f>
        <v>8006.94825</v>
      </c>
      <c r="J116" s="116"/>
    </row>
    <row r="117" customFormat="false" ht="15.75" hidden="false" customHeight="false" outlineLevel="0" collapsed="false">
      <c r="A117" s="17" t="s">
        <v>12</v>
      </c>
      <c r="B117" s="83" t="s">
        <v>120</v>
      </c>
      <c r="C117" s="83"/>
      <c r="D117" s="83"/>
      <c r="E117" s="83"/>
      <c r="F117" s="83"/>
      <c r="G117" s="83"/>
      <c r="H117" s="119" t="s">
        <v>198</v>
      </c>
      <c r="I117" s="290" t="s">
        <v>198</v>
      </c>
      <c r="J117" s="116"/>
    </row>
    <row r="118" customFormat="false" ht="15.75" hidden="false" customHeight="false" outlineLevel="0" collapsed="false">
      <c r="A118" s="17"/>
      <c r="B118" s="83" t="s">
        <v>121</v>
      </c>
      <c r="C118" s="83"/>
      <c r="D118" s="83"/>
      <c r="E118" s="83"/>
      <c r="F118" s="83"/>
      <c r="G118" s="83"/>
      <c r="H118" s="119" t="s">
        <v>198</v>
      </c>
      <c r="I118" s="290" t="s">
        <v>198</v>
      </c>
    </row>
    <row r="119" customFormat="false" ht="33.75" hidden="false" customHeight="true" outlineLevel="0" collapsed="false">
      <c r="A119" s="17"/>
      <c r="B119" s="67" t="s">
        <v>199</v>
      </c>
      <c r="C119" s="67"/>
      <c r="D119" s="67"/>
      <c r="E119" s="67"/>
      <c r="F119" s="67"/>
      <c r="G119" s="67"/>
      <c r="H119" s="121" t="n">
        <v>0.03</v>
      </c>
      <c r="I119" s="273" t="n">
        <f aca="false">ROUND(($I$116/(1-H126))*H119,2)</f>
        <v>262.95</v>
      </c>
    </row>
    <row r="120" customFormat="false" ht="33.75" hidden="false" customHeight="true" outlineLevel="0" collapsed="false">
      <c r="A120" s="17"/>
      <c r="B120" s="67" t="s">
        <v>200</v>
      </c>
      <c r="C120" s="67"/>
      <c r="D120" s="67"/>
      <c r="E120" s="67"/>
      <c r="F120" s="67"/>
      <c r="G120" s="67"/>
      <c r="H120" s="121" t="n">
        <v>0.0065</v>
      </c>
      <c r="I120" s="273" t="n">
        <f aca="false">ROUND(($I$116/(1-H126))*H120,2)</f>
        <v>56.97</v>
      </c>
      <c r="K120" s="66"/>
    </row>
    <row r="121" customFormat="false" ht="33" hidden="false" customHeight="true" outlineLevel="0" collapsed="false">
      <c r="A121" s="17"/>
      <c r="B121" s="122" t="s">
        <v>124</v>
      </c>
      <c r="C121" s="122"/>
      <c r="D121" s="122"/>
      <c r="E121" s="122"/>
      <c r="F121" s="122"/>
      <c r="G121" s="122"/>
      <c r="H121" s="121" t="s">
        <v>198</v>
      </c>
      <c r="I121" s="290" t="s">
        <v>198</v>
      </c>
      <c r="K121" s="66"/>
    </row>
    <row r="122" customFormat="false" ht="15.75" hidden="false" customHeight="false" outlineLevel="0" collapsed="false">
      <c r="A122" s="17"/>
      <c r="B122" s="83" t="s">
        <v>125</v>
      </c>
      <c r="C122" s="83"/>
      <c r="D122" s="83"/>
      <c r="E122" s="83"/>
      <c r="F122" s="83"/>
      <c r="G122" s="83"/>
      <c r="H122" s="119" t="s">
        <v>198</v>
      </c>
      <c r="I122" s="290" t="s">
        <v>198</v>
      </c>
    </row>
    <row r="123" customFormat="false" ht="15.75" hidden="false" customHeight="false" outlineLevel="0" collapsed="false">
      <c r="A123" s="17"/>
      <c r="B123" s="83" t="s">
        <v>126</v>
      </c>
      <c r="C123" s="83"/>
      <c r="D123" s="83"/>
      <c r="E123" s="83"/>
      <c r="F123" s="83"/>
      <c r="G123" s="83"/>
      <c r="H123" s="119" t="s">
        <v>198</v>
      </c>
      <c r="I123" s="290" t="s">
        <v>198</v>
      </c>
      <c r="K123" s="66"/>
    </row>
    <row r="124" customFormat="false" ht="15.75" hidden="false" customHeight="false" outlineLevel="0" collapsed="false">
      <c r="A124" s="17"/>
      <c r="B124" s="52" t="s">
        <v>262</v>
      </c>
      <c r="C124" s="52"/>
      <c r="D124" s="52"/>
      <c r="E124" s="52"/>
      <c r="F124" s="52"/>
      <c r="G124" s="52"/>
      <c r="H124" s="124" t="n">
        <v>0.05</v>
      </c>
      <c r="I124" s="273" t="n">
        <f aca="false">ROUND(($I$116/(1-H126))*H124,2)</f>
        <v>438.26</v>
      </c>
    </row>
    <row r="125" customFormat="false" ht="15.75" hidden="false" customHeight="false" outlineLevel="0" collapsed="false">
      <c r="A125" s="125" t="s">
        <v>76</v>
      </c>
      <c r="B125" s="125"/>
      <c r="C125" s="125"/>
      <c r="D125" s="125"/>
      <c r="E125" s="125"/>
      <c r="F125" s="125"/>
      <c r="G125" s="125"/>
      <c r="H125" s="125"/>
      <c r="I125" s="291" t="n">
        <f aca="false">I113+I115+I119+I120+I124</f>
        <v>2160.77</v>
      </c>
    </row>
    <row r="126" customFormat="false" ht="15.75" hidden="false" customHeight="false" outlineLevel="0" collapsed="false">
      <c r="A126" s="127" t="s">
        <v>128</v>
      </c>
      <c r="B126" s="127"/>
      <c r="C126" s="127"/>
      <c r="D126" s="127"/>
      <c r="E126" s="127"/>
      <c r="F126" s="127"/>
      <c r="G126" s="127"/>
      <c r="H126" s="128" t="n">
        <f aca="false">SUM(H119:H124)</f>
        <v>0.0865</v>
      </c>
      <c r="I126" s="292" t="n">
        <f aca="false">SUM(I119+I120+I124)</f>
        <v>758.18</v>
      </c>
    </row>
    <row r="127" customFormat="false" ht="15.75" hidden="false" customHeight="false" outlineLevel="0" collapsed="false">
      <c r="A127" s="130" t="s">
        <v>129</v>
      </c>
      <c r="B127" s="130"/>
      <c r="C127" s="293" t="s">
        <v>130</v>
      </c>
      <c r="D127" s="293"/>
      <c r="E127" s="293"/>
      <c r="F127" s="293"/>
      <c r="G127" s="293"/>
      <c r="H127" s="293"/>
      <c r="I127" s="293"/>
    </row>
    <row r="128" customFormat="false" ht="15" hidden="false" customHeight="false" outlineLevel="0" collapsed="false">
      <c r="A128" s="130"/>
      <c r="B128" s="130"/>
      <c r="C128" s="294" t="s">
        <v>131</v>
      </c>
      <c r="D128" s="294"/>
      <c r="E128" s="294"/>
      <c r="F128" s="294"/>
      <c r="G128" s="294"/>
      <c r="H128" s="294"/>
      <c r="I128" s="294"/>
    </row>
    <row r="129" customFormat="false" ht="15.75" hidden="false" customHeight="false" outlineLevel="0" collapsed="false">
      <c r="A129" s="133" t="s">
        <v>132</v>
      </c>
      <c r="B129" s="133"/>
      <c r="C129" s="133"/>
      <c r="D129" s="133"/>
      <c r="E129" s="133"/>
      <c r="F129" s="133"/>
      <c r="G129" s="133"/>
      <c r="H129" s="133"/>
      <c r="I129" s="133"/>
    </row>
    <row r="130" customFormat="false" ht="15.75" hidden="false" customHeight="false" outlineLevel="0" collapsed="false">
      <c r="A130" s="94" t="s">
        <v>133</v>
      </c>
      <c r="B130" s="94"/>
      <c r="C130" s="94"/>
      <c r="D130" s="94"/>
      <c r="E130" s="94"/>
      <c r="F130" s="94"/>
      <c r="G130" s="94"/>
      <c r="H130" s="94"/>
      <c r="I130" s="94"/>
    </row>
    <row r="131" customFormat="false" ht="15.75" hidden="false" customHeight="false" outlineLevel="0" collapsed="false">
      <c r="A131" s="295"/>
      <c r="B131" s="295"/>
      <c r="C131" s="295"/>
      <c r="D131" s="295"/>
      <c r="E131" s="295"/>
      <c r="F131" s="295"/>
      <c r="G131" s="295"/>
      <c r="H131" s="295"/>
      <c r="I131" s="295"/>
    </row>
    <row r="132" customFormat="false" ht="15.75" hidden="false" customHeight="false" outlineLevel="0" collapsed="false">
      <c r="A132" s="33" t="s">
        <v>134</v>
      </c>
      <c r="B132" s="33"/>
      <c r="C132" s="33"/>
      <c r="D132" s="33"/>
      <c r="E132" s="33"/>
      <c r="F132" s="33"/>
      <c r="G132" s="33"/>
      <c r="H132" s="33"/>
      <c r="I132" s="33"/>
    </row>
    <row r="133" customFormat="false" ht="15.75" hidden="false" customHeight="false" outlineLevel="0" collapsed="false">
      <c r="A133" s="135" t="s">
        <v>135</v>
      </c>
      <c r="B133" s="135"/>
      <c r="C133" s="135"/>
      <c r="D133" s="135"/>
      <c r="E133" s="135"/>
      <c r="F133" s="135"/>
      <c r="G133" s="135"/>
      <c r="H133" s="135"/>
      <c r="I133" s="135"/>
    </row>
    <row r="134" customFormat="false" ht="15.75" hidden="false" customHeight="false" outlineLevel="0" collapsed="false">
      <c r="A134" s="136" t="s">
        <v>136</v>
      </c>
      <c r="B134" s="136"/>
      <c r="C134" s="136"/>
      <c r="D134" s="136"/>
      <c r="E134" s="136"/>
      <c r="F134" s="136"/>
      <c r="G134" s="136"/>
      <c r="H134" s="136"/>
      <c r="I134" s="296" t="s">
        <v>35</v>
      </c>
    </row>
    <row r="135" customFormat="false" ht="15.75" hidden="false" customHeight="false" outlineLevel="0" collapsed="false">
      <c r="A135" s="14" t="s">
        <v>8</v>
      </c>
      <c r="B135" s="15" t="s">
        <v>137</v>
      </c>
      <c r="C135" s="15"/>
      <c r="D135" s="15"/>
      <c r="E135" s="15"/>
      <c r="F135" s="15"/>
      <c r="G135" s="15"/>
      <c r="H135" s="15"/>
      <c r="I135" s="297" t="n">
        <f aca="false">I43</f>
        <v>3366.952</v>
      </c>
    </row>
    <row r="136" customFormat="false" ht="15.75" hidden="false" customHeight="false" outlineLevel="0" collapsed="false">
      <c r="A136" s="14" t="s">
        <v>10</v>
      </c>
      <c r="B136" s="15" t="s">
        <v>138</v>
      </c>
      <c r="C136" s="15"/>
      <c r="D136" s="15"/>
      <c r="E136" s="15"/>
      <c r="F136" s="15"/>
      <c r="G136" s="15"/>
      <c r="H136" s="15"/>
      <c r="I136" s="297" t="n">
        <f aca="false">I52</f>
        <v>830.15</v>
      </c>
    </row>
    <row r="137" customFormat="false" ht="15.75" hidden="false" customHeight="false" outlineLevel="0" collapsed="false">
      <c r="A137" s="14" t="s">
        <v>12</v>
      </c>
      <c r="B137" s="15" t="s">
        <v>139</v>
      </c>
      <c r="C137" s="15"/>
      <c r="D137" s="15"/>
      <c r="E137" s="15"/>
      <c r="F137" s="15"/>
      <c r="G137" s="15"/>
      <c r="H137" s="15"/>
      <c r="I137" s="298" t="n">
        <f aca="false">I57</f>
        <v>137.67625</v>
      </c>
    </row>
    <row r="138" customFormat="false" ht="15.75" hidden="false" customHeight="false" outlineLevel="0" collapsed="false">
      <c r="A138" s="14" t="s">
        <v>14</v>
      </c>
      <c r="B138" s="15" t="s">
        <v>109</v>
      </c>
      <c r="C138" s="15"/>
      <c r="D138" s="15"/>
      <c r="E138" s="15"/>
      <c r="F138" s="15"/>
      <c r="G138" s="15"/>
      <c r="H138" s="15"/>
      <c r="I138" s="297" t="n">
        <f aca="false">I109</f>
        <v>2269.58</v>
      </c>
    </row>
    <row r="139" customFormat="false" ht="15.75" hidden="false" customHeight="false" outlineLevel="0" collapsed="false">
      <c r="A139" s="140" t="s">
        <v>140</v>
      </c>
      <c r="B139" s="140"/>
      <c r="C139" s="140"/>
      <c r="D139" s="140"/>
      <c r="E139" s="140"/>
      <c r="F139" s="140"/>
      <c r="G139" s="140"/>
      <c r="H139" s="140"/>
      <c r="I139" s="299" t="n">
        <f aca="false">SUM(I135:I138)</f>
        <v>6604.35825</v>
      </c>
    </row>
    <row r="140" customFormat="false" ht="15.75" hidden="false" customHeight="false" outlineLevel="0" collapsed="false">
      <c r="A140" s="14" t="s">
        <v>40</v>
      </c>
      <c r="B140" s="15" t="s">
        <v>141</v>
      </c>
      <c r="C140" s="15"/>
      <c r="D140" s="15"/>
      <c r="E140" s="15"/>
      <c r="F140" s="15"/>
      <c r="G140" s="15"/>
      <c r="H140" s="15"/>
      <c r="I140" s="297" t="n">
        <f aca="false">I125</f>
        <v>2160.77</v>
      </c>
    </row>
    <row r="141" customFormat="false" ht="15.75" hidden="false" customHeight="false" outlineLevel="0" collapsed="false">
      <c r="A141" s="143" t="s">
        <v>142</v>
      </c>
      <c r="B141" s="143"/>
      <c r="C141" s="143"/>
      <c r="D141" s="143"/>
      <c r="E141" s="143"/>
      <c r="F141" s="143"/>
      <c r="G141" s="143"/>
      <c r="H141" s="143"/>
      <c r="I141" s="300" t="n">
        <f aca="false">SUM(I139+I140)</f>
        <v>8765.12825</v>
      </c>
    </row>
    <row r="142" customFormat="false" ht="15.75" hidden="false" customHeight="false" outlineLevel="0" collapsed="false">
      <c r="A142" s="301"/>
      <c r="B142" s="301"/>
      <c r="C142" s="301"/>
      <c r="D142" s="301"/>
      <c r="E142" s="301"/>
      <c r="F142" s="301"/>
      <c r="G142" s="301"/>
      <c r="H142" s="301"/>
      <c r="I142" s="301"/>
    </row>
    <row r="143" customFormat="false" ht="15.75" hidden="false" customHeight="false" outlineLevel="0" collapsed="false">
      <c r="A143" s="33" t="s">
        <v>143</v>
      </c>
      <c r="B143" s="33"/>
      <c r="C143" s="33"/>
      <c r="D143" s="33"/>
      <c r="E143" s="33"/>
      <c r="F143" s="33"/>
      <c r="G143" s="33"/>
      <c r="H143" s="33"/>
      <c r="I143" s="33"/>
    </row>
    <row r="144" customFormat="false" ht="15.75" hidden="false" customHeight="false" outlineLevel="0" collapsed="false">
      <c r="A144" s="146" t="s">
        <v>144</v>
      </c>
      <c r="B144" s="146"/>
      <c r="C144" s="146"/>
      <c r="D144" s="146"/>
      <c r="E144" s="146"/>
      <c r="F144" s="146"/>
      <c r="G144" s="146"/>
      <c r="H144" s="146"/>
      <c r="I144" s="146"/>
    </row>
    <row r="145" customFormat="false" ht="62.25" hidden="false" customHeight="true" outlineLevel="0" collapsed="false">
      <c r="A145" s="64" t="s">
        <v>145</v>
      </c>
      <c r="B145" s="64"/>
      <c r="C145" s="245" t="s">
        <v>146</v>
      </c>
      <c r="D145" s="245"/>
      <c r="E145" s="246" t="s">
        <v>147</v>
      </c>
      <c r="F145" s="245" t="s">
        <v>148</v>
      </c>
      <c r="G145" s="245"/>
      <c r="H145" s="245" t="s">
        <v>149</v>
      </c>
      <c r="I145" s="302" t="s">
        <v>150</v>
      </c>
    </row>
    <row r="146" customFormat="false" ht="31.5" hidden="false" customHeight="true" outlineLevel="0" collapsed="false">
      <c r="A146" s="248" t="s">
        <v>26</v>
      </c>
      <c r="B146" s="248"/>
      <c r="C146" s="249" t="n">
        <f aca="false">I141</f>
        <v>8765.12825</v>
      </c>
      <c r="D146" s="249"/>
      <c r="E146" s="250" t="n">
        <v>2</v>
      </c>
      <c r="F146" s="251" t="n">
        <f aca="false">C146</f>
        <v>8765.12825</v>
      </c>
      <c r="G146" s="251"/>
      <c r="H146" s="252" t="n">
        <v>4</v>
      </c>
      <c r="I146" s="303" t="n">
        <f aca="false">F146*H146</f>
        <v>35060.513</v>
      </c>
    </row>
    <row r="147" customFormat="false" ht="15.75" hidden="false" customHeight="false" outlineLevel="0" collapsed="false">
      <c r="A147" s="301"/>
      <c r="B147" s="301"/>
      <c r="C147" s="301"/>
      <c r="D147" s="301"/>
      <c r="E147" s="301"/>
      <c r="F147" s="301"/>
      <c r="G147" s="301"/>
      <c r="H147" s="301"/>
      <c r="I147" s="301"/>
    </row>
    <row r="148" customFormat="false" ht="15.75" hidden="false" customHeight="false" outlineLevel="0" collapsed="false">
      <c r="A148" s="33" t="s">
        <v>151</v>
      </c>
      <c r="B148" s="33"/>
      <c r="C148" s="33"/>
      <c r="D148" s="33"/>
      <c r="E148" s="33"/>
      <c r="F148" s="33"/>
      <c r="G148" s="33"/>
      <c r="H148" s="33"/>
      <c r="I148" s="33"/>
    </row>
    <row r="149" customFormat="false" ht="15.75" hidden="false" customHeight="false" outlineLevel="0" collapsed="false">
      <c r="A149" s="146" t="s">
        <v>152</v>
      </c>
      <c r="B149" s="146"/>
      <c r="C149" s="146"/>
      <c r="D149" s="146"/>
      <c r="E149" s="146"/>
      <c r="F149" s="146"/>
      <c r="G149" s="146"/>
      <c r="H149" s="146"/>
      <c r="I149" s="146"/>
    </row>
    <row r="150" customFormat="false" ht="15.75" hidden="false" customHeight="false" outlineLevel="0" collapsed="false">
      <c r="A150" s="157" t="s">
        <v>153</v>
      </c>
      <c r="B150" s="157"/>
      <c r="C150" s="157"/>
      <c r="D150" s="157"/>
      <c r="E150" s="157"/>
      <c r="F150" s="157"/>
      <c r="G150" s="157"/>
      <c r="H150" s="157"/>
      <c r="I150" s="157"/>
    </row>
    <row r="151" customFormat="false" ht="15.75" hidden="false" customHeight="false" outlineLevel="0" collapsed="false">
      <c r="A151" s="158" t="s">
        <v>8</v>
      </c>
      <c r="B151" s="15" t="s">
        <v>154</v>
      </c>
      <c r="C151" s="15"/>
      <c r="D151" s="15"/>
      <c r="E151" s="15"/>
      <c r="F151" s="15"/>
      <c r="G151" s="15"/>
      <c r="H151" s="15"/>
      <c r="I151" s="304" t="n">
        <f aca="false">F146</f>
        <v>8765.12825</v>
      </c>
    </row>
    <row r="152" customFormat="false" ht="15.75" hidden="false" customHeight="false" outlineLevel="0" collapsed="false">
      <c r="A152" s="158" t="s">
        <v>10</v>
      </c>
      <c r="B152" s="15" t="s">
        <v>155</v>
      </c>
      <c r="C152" s="15"/>
      <c r="D152" s="15"/>
      <c r="E152" s="15"/>
      <c r="F152" s="15"/>
      <c r="G152" s="15"/>
      <c r="H152" s="15"/>
      <c r="I152" s="305" t="n">
        <f aca="false">I146</f>
        <v>35060.513</v>
      </c>
    </row>
    <row r="153" customFormat="false" ht="16.5" hidden="false" customHeight="true" outlineLevel="0" collapsed="false">
      <c r="A153" s="161" t="s">
        <v>12</v>
      </c>
      <c r="B153" s="162" t="s">
        <v>156</v>
      </c>
      <c r="C153" s="162"/>
      <c r="D153" s="162"/>
      <c r="E153" s="162"/>
      <c r="F153" s="162"/>
      <c r="G153" s="162"/>
      <c r="H153" s="162"/>
      <c r="I153" s="306" t="n">
        <f aca="false">I152*12</f>
        <v>420726.156</v>
      </c>
    </row>
  </sheetData>
  <mergeCells count="158">
    <mergeCell ref="A8:I8"/>
    <mergeCell ref="A9:I9"/>
    <mergeCell ref="A10:I10"/>
    <mergeCell ref="A11:I11"/>
    <mergeCell ref="A12:I12"/>
    <mergeCell ref="A13:I13"/>
    <mergeCell ref="A14:I14"/>
    <mergeCell ref="B15:H15"/>
    <mergeCell ref="B16:H16"/>
    <mergeCell ref="B17:H17"/>
    <mergeCell ref="B18:H18"/>
    <mergeCell ref="A19:I19"/>
    <mergeCell ref="A20:D20"/>
    <mergeCell ref="E20:F20"/>
    <mergeCell ref="G20:I20"/>
    <mergeCell ref="A21:D21"/>
    <mergeCell ref="E21:F22"/>
    <mergeCell ref="G21:I22"/>
    <mergeCell ref="A22:D22"/>
    <mergeCell ref="B23:I23"/>
    <mergeCell ref="A24:I24"/>
    <mergeCell ref="A25:I25"/>
    <mergeCell ref="A26:I26"/>
    <mergeCell ref="B27:H27"/>
    <mergeCell ref="B28:H28"/>
    <mergeCell ref="B29:H29"/>
    <mergeCell ref="B30:H30"/>
    <mergeCell ref="B31:H31"/>
    <mergeCell ref="B32:H32"/>
    <mergeCell ref="B33:H33"/>
    <mergeCell ref="A34:I34"/>
    <mergeCell ref="A35:I35"/>
    <mergeCell ref="B36:H36"/>
    <mergeCell ref="B37:H37"/>
    <mergeCell ref="B38:H38"/>
    <mergeCell ref="B39:H39"/>
    <mergeCell ref="B40:H40"/>
    <mergeCell ref="B41:H41"/>
    <mergeCell ref="B42:H42"/>
    <mergeCell ref="A43:H43"/>
    <mergeCell ref="A44:I44"/>
    <mergeCell ref="B45:H45"/>
    <mergeCell ref="A46:A48"/>
    <mergeCell ref="B46:H46"/>
    <mergeCell ref="B47:G47"/>
    <mergeCell ref="B48:G48"/>
    <mergeCell ref="A49:A50"/>
    <mergeCell ref="B49:H49"/>
    <mergeCell ref="B50:G50"/>
    <mergeCell ref="B51:H51"/>
    <mergeCell ref="A52:H52"/>
    <mergeCell ref="A53:I53"/>
    <mergeCell ref="A54:I54"/>
    <mergeCell ref="B55:H55"/>
    <mergeCell ref="B56:H56"/>
    <mergeCell ref="A57:H57"/>
    <mergeCell ref="A58:I58"/>
    <mergeCell ref="A59:I59"/>
    <mergeCell ref="B60:G60"/>
    <mergeCell ref="B61:G61"/>
    <mergeCell ref="B62:G62"/>
    <mergeCell ref="B63:G63"/>
    <mergeCell ref="B64:G64"/>
    <mergeCell ref="B65:G65"/>
    <mergeCell ref="B66:G66"/>
    <mergeCell ref="B67:E67"/>
    <mergeCell ref="B68:G68"/>
    <mergeCell ref="A69:G69"/>
    <mergeCell ref="A70:I70"/>
    <mergeCell ref="A71:I71"/>
    <mergeCell ref="A72:I72"/>
    <mergeCell ref="B73:H73"/>
    <mergeCell ref="B74:H74"/>
    <mergeCell ref="A75:H75"/>
    <mergeCell ref="B76:H76"/>
    <mergeCell ref="A77:H77"/>
    <mergeCell ref="A78:I78"/>
    <mergeCell ref="B79:H79"/>
    <mergeCell ref="B80:H80"/>
    <mergeCell ref="B81:H81"/>
    <mergeCell ref="A82:H82"/>
    <mergeCell ref="A83:I83"/>
    <mergeCell ref="B84:H84"/>
    <mergeCell ref="B85:H85"/>
    <mergeCell ref="B86:H86"/>
    <mergeCell ref="B87:H87"/>
    <mergeCell ref="B88:H88"/>
    <mergeCell ref="B89:H89"/>
    <mergeCell ref="B90:H90"/>
    <mergeCell ref="A91:H91"/>
    <mergeCell ref="A92:I92"/>
    <mergeCell ref="B93:H93"/>
    <mergeCell ref="B94:H94"/>
    <mergeCell ref="B95:H95"/>
    <mergeCell ref="B96:H96"/>
    <mergeCell ref="B97:H97"/>
    <mergeCell ref="B98:H98"/>
    <mergeCell ref="A99:H99"/>
    <mergeCell ref="B100:H100"/>
    <mergeCell ref="A101:H101"/>
    <mergeCell ref="A102:I102"/>
    <mergeCell ref="B103:H103"/>
    <mergeCell ref="B104:H104"/>
    <mergeCell ref="B105:H105"/>
    <mergeCell ref="B106:H106"/>
    <mergeCell ref="B107:H107"/>
    <mergeCell ref="B108:H108"/>
    <mergeCell ref="A109:H109"/>
    <mergeCell ref="A110:I110"/>
    <mergeCell ref="B111:G111"/>
    <mergeCell ref="A112:G112"/>
    <mergeCell ref="B113:G113"/>
    <mergeCell ref="A114:G114"/>
    <mergeCell ref="B115:G115"/>
    <mergeCell ref="A116:G116"/>
    <mergeCell ref="A117:A124"/>
    <mergeCell ref="B117:G117"/>
    <mergeCell ref="B118:G118"/>
    <mergeCell ref="B119:G119"/>
    <mergeCell ref="B120:G120"/>
    <mergeCell ref="B121:G121"/>
    <mergeCell ref="B122:G122"/>
    <mergeCell ref="B123:G123"/>
    <mergeCell ref="B124:G124"/>
    <mergeCell ref="A125:H125"/>
    <mergeCell ref="A126:G126"/>
    <mergeCell ref="A127:B128"/>
    <mergeCell ref="C127:I127"/>
    <mergeCell ref="C128:I128"/>
    <mergeCell ref="A129:I129"/>
    <mergeCell ref="A130:I130"/>
    <mergeCell ref="A131:I131"/>
    <mergeCell ref="A132:I132"/>
    <mergeCell ref="A133:I133"/>
    <mergeCell ref="A134:H134"/>
    <mergeCell ref="B135:H135"/>
    <mergeCell ref="B136:H136"/>
    <mergeCell ref="B137:H137"/>
    <mergeCell ref="B138:H138"/>
    <mergeCell ref="A139:H139"/>
    <mergeCell ref="B140:H140"/>
    <mergeCell ref="A141:H141"/>
    <mergeCell ref="A142:I142"/>
    <mergeCell ref="A143:I143"/>
    <mergeCell ref="A144:I144"/>
    <mergeCell ref="A145:B145"/>
    <mergeCell ref="C145:D145"/>
    <mergeCell ref="F145:G145"/>
    <mergeCell ref="A146:B146"/>
    <mergeCell ref="C146:D146"/>
    <mergeCell ref="F146:G146"/>
    <mergeCell ref="A147:I147"/>
    <mergeCell ref="A148:I148"/>
    <mergeCell ref="A149:I149"/>
    <mergeCell ref="A150:I150"/>
    <mergeCell ref="B151:H151"/>
    <mergeCell ref="B152:H152"/>
    <mergeCell ref="B153:H153"/>
  </mergeCells>
  <printOptions headings="false" gridLines="false" gridLinesSet="true" horizontalCentered="false" verticalCentered="false"/>
  <pageMargins left="0.698611111111111" right="0.698611111111111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7" man="true" max="16383" min="0"/>
    <brk id="109" man="true" max="16383" min="0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tabColor rgb="FFFDEADA"/>
    <pageSetUpPr fitToPage="false"/>
  </sheetPr>
  <dimension ref="A1:N153"/>
  <sheetViews>
    <sheetView showFormulas="false" showGridLines="true" showRowColHeaders="true" showZeros="true" rightToLeft="false" tabSelected="false" showOutlineSymbols="true" defaultGridColor="true" view="pageBreakPreview" topLeftCell="B142" colorId="64" zoomScale="76" zoomScaleNormal="100" zoomScalePageLayoutView="76" workbookViewId="0">
      <selection pane="topLeft" activeCell="A53" activeCellId="0" sqref="A53"/>
    </sheetView>
  </sheetViews>
  <sheetFormatPr defaultRowHeight="15" zeroHeight="false" outlineLevelRow="0" outlineLevelCol="0"/>
  <cols>
    <col collapsed="false" customWidth="true" hidden="false" outlineLevel="0" max="1" min="1" style="1" width="12.86"/>
    <col collapsed="false" customWidth="true" hidden="false" outlineLevel="0" max="2" min="2" style="1" width="20.3"/>
    <col collapsed="false" customWidth="true" hidden="false" outlineLevel="0" max="3" min="3" style="1" width="17.4"/>
    <col collapsed="false" customWidth="true" hidden="false" outlineLevel="0" max="4" min="4" style="1" width="15.57"/>
    <col collapsed="false" customWidth="true" hidden="false" outlineLevel="0" max="5" min="5" style="1" width="17.13"/>
    <col collapsed="false" customWidth="true" hidden="false" outlineLevel="0" max="6" min="6" style="1" width="21.14"/>
    <col collapsed="false" customWidth="true" hidden="false" outlineLevel="0" max="7" min="7" style="1" width="25.57"/>
    <col collapsed="false" customWidth="true" hidden="false" outlineLevel="0" max="8" min="8" style="1" width="25.4"/>
    <col collapsed="false" customWidth="true" hidden="false" outlineLevel="0" max="9" min="9" style="1" width="54.98"/>
    <col collapsed="false" customWidth="true" hidden="true" outlineLevel="0" max="11" min="10" style="1" width="9"/>
    <col collapsed="false" customWidth="true" hidden="false" outlineLevel="0" max="12" min="12" style="1" width="58.57"/>
    <col collapsed="false" customWidth="true" hidden="false" outlineLevel="0" max="13" min="13" style="1" width="34.71"/>
    <col collapsed="false" customWidth="true" hidden="false" outlineLevel="0" max="1025" min="14" style="1" width="28.57"/>
  </cols>
  <sheetData>
    <row r="1" s="101" customFormat="true" ht="15.75" hidden="false" customHeight="false" outlineLevel="0" collapsed="false">
      <c r="A1" s="173" t="s">
        <v>178</v>
      </c>
      <c r="I1" s="261"/>
    </row>
    <row r="2" s="101" customFormat="true" ht="15.75" hidden="false" customHeight="false" outlineLevel="0" collapsed="false">
      <c r="A2" s="173" t="s">
        <v>179</v>
      </c>
      <c r="I2" s="261"/>
    </row>
    <row r="3" s="101" customFormat="true" ht="15.75" hidden="false" customHeight="false" outlineLevel="0" collapsed="false">
      <c r="A3" s="173" t="s">
        <v>180</v>
      </c>
      <c r="I3" s="261"/>
    </row>
    <row r="4" s="101" customFormat="true" ht="15.75" hidden="false" customHeight="false" outlineLevel="0" collapsed="false">
      <c r="A4" s="173" t="s">
        <v>181</v>
      </c>
      <c r="I4" s="261"/>
    </row>
    <row r="5" s="101" customFormat="true" ht="15.75" hidden="false" customHeight="false" outlineLevel="0" collapsed="false">
      <c r="A5" s="173" t="s">
        <v>182</v>
      </c>
      <c r="I5" s="261"/>
    </row>
    <row r="6" s="101" customFormat="true" ht="15.75" hidden="false" customHeight="false" outlineLevel="0" collapsed="false">
      <c r="A6" s="173" t="s">
        <v>183</v>
      </c>
      <c r="I6" s="261"/>
    </row>
    <row r="7" customFormat="false" ht="15.75" hidden="false" customHeight="false" outlineLevel="0" collapsed="false">
      <c r="A7" s="174" t="s">
        <v>184</v>
      </c>
      <c r="I7" s="262"/>
    </row>
    <row r="8" customFormat="false" ht="15.75" hidden="false" customHeight="false" outlineLevel="0" collapsed="false">
      <c r="A8" s="263" t="s">
        <v>1</v>
      </c>
      <c r="B8" s="263"/>
      <c r="C8" s="263"/>
      <c r="D8" s="263"/>
      <c r="E8" s="263"/>
      <c r="F8" s="263"/>
      <c r="G8" s="263"/>
      <c r="H8" s="263"/>
      <c r="I8" s="263"/>
    </row>
    <row r="9" customFormat="false" ht="15.75" hidden="false" customHeight="false" outlineLevel="0" collapsed="false">
      <c r="A9" s="4" t="s">
        <v>2</v>
      </c>
      <c r="B9" s="4"/>
      <c r="C9" s="4"/>
      <c r="D9" s="4"/>
      <c r="E9" s="4"/>
      <c r="F9" s="4"/>
      <c r="G9" s="4"/>
      <c r="H9" s="4"/>
      <c r="I9" s="4"/>
    </row>
    <row r="10" customFormat="false" ht="15.75" hidden="false" customHeight="false" outlineLevel="0" collapsed="false">
      <c r="A10" s="5" t="s">
        <v>3</v>
      </c>
      <c r="B10" s="5"/>
      <c r="C10" s="5"/>
      <c r="D10" s="5"/>
      <c r="E10" s="5"/>
      <c r="F10" s="5"/>
      <c r="G10" s="5"/>
      <c r="H10" s="5"/>
      <c r="I10" s="5"/>
    </row>
    <row r="11" customFormat="false" ht="15.75" hidden="false" customHeight="false" outlineLevel="0" collapsed="false">
      <c r="A11" s="6" t="s">
        <v>4</v>
      </c>
      <c r="B11" s="6"/>
      <c r="C11" s="6"/>
      <c r="D11" s="6"/>
      <c r="E11" s="6"/>
      <c r="F11" s="6"/>
      <c r="G11" s="6"/>
      <c r="H11" s="6"/>
      <c r="I11" s="6"/>
    </row>
    <row r="12" customFormat="false" ht="15.75" hidden="false" customHeight="false" outlineLevel="0" collapsed="false">
      <c r="A12" s="7" t="s">
        <v>5</v>
      </c>
      <c r="B12" s="7"/>
      <c r="C12" s="7"/>
      <c r="D12" s="7"/>
      <c r="E12" s="7"/>
      <c r="F12" s="7"/>
      <c r="G12" s="7"/>
      <c r="H12" s="7"/>
      <c r="I12" s="7"/>
    </row>
    <row r="13" customFormat="false" ht="15.75" hidden="false" customHeight="false" outlineLevel="0" collapsed="false">
      <c r="A13" s="8" t="s">
        <v>6</v>
      </c>
      <c r="B13" s="8"/>
      <c r="C13" s="8"/>
      <c r="D13" s="8"/>
      <c r="E13" s="8"/>
      <c r="F13" s="8"/>
      <c r="G13" s="8"/>
      <c r="H13" s="8"/>
      <c r="I13" s="8"/>
    </row>
    <row r="14" customFormat="false" ht="15.75" hidden="false" customHeight="false" outlineLevel="0" collapsed="false">
      <c r="A14" s="179" t="s">
        <v>7</v>
      </c>
      <c r="B14" s="179"/>
      <c r="C14" s="179"/>
      <c r="D14" s="179"/>
      <c r="E14" s="179"/>
      <c r="F14" s="179"/>
      <c r="G14" s="179"/>
      <c r="H14" s="179"/>
      <c r="I14" s="179"/>
    </row>
    <row r="15" customFormat="false" ht="15.75" hidden="false" customHeight="false" outlineLevel="0" collapsed="false">
      <c r="A15" s="10" t="s">
        <v>8</v>
      </c>
      <c r="B15" s="11" t="s">
        <v>9</v>
      </c>
      <c r="C15" s="11"/>
      <c r="D15" s="11"/>
      <c r="E15" s="11"/>
      <c r="F15" s="11"/>
      <c r="G15" s="11"/>
      <c r="H15" s="11"/>
      <c r="I15" s="264"/>
      <c r="L15" s="13"/>
    </row>
    <row r="16" customFormat="false" ht="15.75" hidden="false" customHeight="false" outlineLevel="0" collapsed="false">
      <c r="A16" s="14" t="s">
        <v>10</v>
      </c>
      <c r="B16" s="15" t="s">
        <v>11</v>
      </c>
      <c r="C16" s="15"/>
      <c r="D16" s="15"/>
      <c r="E16" s="15"/>
      <c r="F16" s="15"/>
      <c r="G16" s="15"/>
      <c r="H16" s="15"/>
      <c r="I16" s="265" t="s">
        <v>263</v>
      </c>
      <c r="L16" s="13"/>
    </row>
    <row r="17" customFormat="false" ht="47.25" hidden="false" customHeight="true" outlineLevel="0" collapsed="false">
      <c r="A17" s="17" t="s">
        <v>12</v>
      </c>
      <c r="B17" s="67" t="s">
        <v>13</v>
      </c>
      <c r="C17" s="67"/>
      <c r="D17" s="67"/>
      <c r="E17" s="67"/>
      <c r="F17" s="67"/>
      <c r="G17" s="67"/>
      <c r="H17" s="67"/>
      <c r="I17" s="266" t="s">
        <v>186</v>
      </c>
      <c r="L17" s="13"/>
    </row>
    <row r="18" customFormat="false" ht="15.75" hidden="false" customHeight="false" outlineLevel="0" collapsed="false">
      <c r="A18" s="20" t="s">
        <v>14</v>
      </c>
      <c r="B18" s="21" t="s">
        <v>15</v>
      </c>
      <c r="C18" s="21"/>
      <c r="D18" s="21"/>
      <c r="E18" s="21"/>
      <c r="F18" s="21"/>
      <c r="G18" s="21"/>
      <c r="H18" s="21"/>
      <c r="I18" s="267" t="n">
        <v>12</v>
      </c>
    </row>
    <row r="19" customFormat="false" ht="15.75" hidden="false" customHeight="false" outlineLevel="0" collapsed="false">
      <c r="A19" s="179" t="s">
        <v>16</v>
      </c>
      <c r="B19" s="179"/>
      <c r="C19" s="179"/>
      <c r="D19" s="179"/>
      <c r="E19" s="179"/>
      <c r="F19" s="179"/>
      <c r="G19" s="179"/>
      <c r="H19" s="179"/>
      <c r="I19" s="179"/>
    </row>
    <row r="20" customFormat="false" ht="15.75" hidden="false" customHeight="false" outlineLevel="0" collapsed="false">
      <c r="A20" s="23" t="s">
        <v>17</v>
      </c>
      <c r="B20" s="23"/>
      <c r="C20" s="23"/>
      <c r="D20" s="23"/>
      <c r="E20" s="24" t="s">
        <v>18</v>
      </c>
      <c r="F20" s="24"/>
      <c r="G20" s="25" t="s">
        <v>19</v>
      </c>
      <c r="H20" s="25"/>
      <c r="I20" s="25"/>
    </row>
    <row r="21" customFormat="false" ht="15.75" hidden="false" customHeight="true" outlineLevel="0" collapsed="false">
      <c r="A21" s="26" t="s">
        <v>20</v>
      </c>
      <c r="B21" s="26"/>
      <c r="C21" s="26"/>
      <c r="D21" s="26"/>
      <c r="E21" s="27" t="s">
        <v>21</v>
      </c>
      <c r="F21" s="27"/>
      <c r="G21" s="28" t="n">
        <v>1</v>
      </c>
      <c r="H21" s="28"/>
      <c r="I21" s="28"/>
    </row>
    <row r="22" customFormat="false" ht="31.5" hidden="false" customHeight="true" outlineLevel="0" collapsed="false">
      <c r="A22" s="268" t="s">
        <v>264</v>
      </c>
      <c r="B22" s="268"/>
      <c r="C22" s="268"/>
      <c r="D22" s="268"/>
      <c r="E22" s="27"/>
      <c r="F22" s="27"/>
      <c r="G22" s="28"/>
      <c r="H22" s="28"/>
      <c r="I22" s="28"/>
      <c r="L22" s="30"/>
    </row>
    <row r="23" customFormat="false" ht="15.75" hidden="false" customHeight="false" outlineLevel="0" collapsed="false">
      <c r="A23" s="31"/>
      <c r="B23" s="269"/>
      <c r="C23" s="269"/>
      <c r="D23" s="269"/>
      <c r="E23" s="269"/>
      <c r="F23" s="269"/>
      <c r="G23" s="269"/>
      <c r="H23" s="269"/>
      <c r="I23" s="269"/>
    </row>
    <row r="24" customFormat="false" ht="15.75" hidden="false" customHeight="false" outlineLevel="0" collapsed="false">
      <c r="A24" s="33" t="s">
        <v>22</v>
      </c>
      <c r="B24" s="33"/>
      <c r="C24" s="33"/>
      <c r="D24" s="33"/>
      <c r="E24" s="33"/>
      <c r="F24" s="33"/>
      <c r="G24" s="33"/>
      <c r="H24" s="33"/>
      <c r="I24" s="33"/>
    </row>
    <row r="25" customFormat="false" ht="15.75" hidden="false" customHeight="false" outlineLevel="0" collapsed="false">
      <c r="A25" s="34" t="s">
        <v>23</v>
      </c>
      <c r="B25" s="34"/>
      <c r="C25" s="34"/>
      <c r="D25" s="34"/>
      <c r="E25" s="34"/>
      <c r="F25" s="34"/>
      <c r="G25" s="34"/>
      <c r="H25" s="34"/>
      <c r="I25" s="34"/>
    </row>
    <row r="26" customFormat="false" ht="15.75" hidden="false" customHeight="false" outlineLevel="0" collapsed="false">
      <c r="A26" s="35" t="s">
        <v>24</v>
      </c>
      <c r="B26" s="35"/>
      <c r="C26" s="35"/>
      <c r="D26" s="35"/>
      <c r="E26" s="35"/>
      <c r="F26" s="35"/>
      <c r="G26" s="35"/>
      <c r="H26" s="35"/>
      <c r="I26" s="35"/>
    </row>
    <row r="27" customFormat="false" ht="15.75" hidden="false" customHeight="true" outlineLevel="0" collapsed="false">
      <c r="A27" s="14" t="n">
        <v>1</v>
      </c>
      <c r="B27" s="36" t="s">
        <v>25</v>
      </c>
      <c r="C27" s="36"/>
      <c r="D27" s="36"/>
      <c r="E27" s="36"/>
      <c r="F27" s="36"/>
      <c r="G27" s="36"/>
      <c r="H27" s="36"/>
      <c r="I27" s="266" t="s">
        <v>26</v>
      </c>
    </row>
    <row r="28" customFormat="false" ht="15.75" hidden="false" customHeight="true" outlineLevel="0" collapsed="false">
      <c r="A28" s="14" t="n">
        <v>2</v>
      </c>
      <c r="B28" s="38" t="s">
        <v>27</v>
      </c>
      <c r="C28" s="38"/>
      <c r="D28" s="38"/>
      <c r="E28" s="38"/>
      <c r="F28" s="38"/>
      <c r="G28" s="38"/>
      <c r="H28" s="38"/>
      <c r="I28" s="265" t="n">
        <f aca="false">Dados!B2</f>
        <v>1305.17</v>
      </c>
    </row>
    <row r="29" customFormat="false" ht="15.75" hidden="false" customHeight="true" outlineLevel="0" collapsed="false">
      <c r="A29" s="14" t="n">
        <v>3</v>
      </c>
      <c r="B29" s="38" t="s">
        <v>28</v>
      </c>
      <c r="C29" s="38"/>
      <c r="D29" s="38"/>
      <c r="E29" s="38"/>
      <c r="F29" s="38"/>
      <c r="G29" s="38"/>
      <c r="H29" s="38"/>
      <c r="I29" s="265" t="s">
        <v>188</v>
      </c>
    </row>
    <row r="30" customFormat="false" ht="15.75" hidden="false" customHeight="true" outlineLevel="0" collapsed="false">
      <c r="A30" s="40" t="n">
        <v>4</v>
      </c>
      <c r="B30" s="41" t="s">
        <v>29</v>
      </c>
      <c r="C30" s="41"/>
      <c r="D30" s="41"/>
      <c r="E30" s="41"/>
      <c r="F30" s="41"/>
      <c r="G30" s="41"/>
      <c r="H30" s="41"/>
      <c r="I30" s="270" t="n">
        <v>42005</v>
      </c>
    </row>
    <row r="31" customFormat="false" ht="15.75" hidden="false" customHeight="true" outlineLevel="0" collapsed="false">
      <c r="A31" s="40" t="n">
        <v>5</v>
      </c>
      <c r="B31" s="38" t="s">
        <v>30</v>
      </c>
      <c r="C31" s="38"/>
      <c r="D31" s="38"/>
      <c r="E31" s="38"/>
      <c r="F31" s="38"/>
      <c r="G31" s="38"/>
      <c r="H31" s="38"/>
      <c r="I31" s="270" t="n">
        <f aca="false">I28/220</f>
        <v>5.93259090909091</v>
      </c>
    </row>
    <row r="32" customFormat="false" ht="15.75" hidden="false" customHeight="true" outlineLevel="0" collapsed="false">
      <c r="A32" s="40" t="n">
        <v>6</v>
      </c>
      <c r="B32" s="38" t="s">
        <v>31</v>
      </c>
      <c r="C32" s="38"/>
      <c r="D32" s="38"/>
      <c r="E32" s="38"/>
      <c r="F32" s="38"/>
      <c r="G32" s="38"/>
      <c r="H32" s="38"/>
      <c r="I32" s="270" t="n">
        <f aca="false">I31*1.5</f>
        <v>8.89888636363636</v>
      </c>
    </row>
    <row r="33" customFormat="false" ht="16.5" hidden="false" customHeight="true" outlineLevel="0" collapsed="false">
      <c r="A33" s="20" t="n">
        <v>7</v>
      </c>
      <c r="B33" s="44" t="s">
        <v>32</v>
      </c>
      <c r="C33" s="44"/>
      <c r="D33" s="44"/>
      <c r="E33" s="44"/>
      <c r="F33" s="44"/>
      <c r="G33" s="44"/>
      <c r="H33" s="44"/>
      <c r="I33" s="267" t="n">
        <f aca="false">I31*0.2</f>
        <v>1.18651818181818</v>
      </c>
    </row>
    <row r="34" customFormat="false" ht="15.75" hidden="false" customHeight="false" outlineLevel="0" collapsed="false">
      <c r="A34" s="339"/>
      <c r="B34" s="339"/>
      <c r="C34" s="339"/>
      <c r="D34" s="339"/>
      <c r="E34" s="339"/>
      <c r="F34" s="339"/>
      <c r="G34" s="339"/>
      <c r="H34" s="339"/>
      <c r="I34" s="339"/>
    </row>
    <row r="35" customFormat="false" ht="18.75" hidden="false" customHeight="true" outlineLevel="0" collapsed="false">
      <c r="A35" s="47" t="s">
        <v>33</v>
      </c>
      <c r="B35" s="47"/>
      <c r="C35" s="47"/>
      <c r="D35" s="47"/>
      <c r="E35" s="47"/>
      <c r="F35" s="47"/>
      <c r="G35" s="47"/>
      <c r="H35" s="47"/>
      <c r="I35" s="47"/>
    </row>
    <row r="36" customFormat="false" ht="15.75" hidden="false" customHeight="false" outlineLevel="0" collapsed="false">
      <c r="A36" s="48" t="n">
        <v>1</v>
      </c>
      <c r="B36" s="49" t="s">
        <v>34</v>
      </c>
      <c r="C36" s="49"/>
      <c r="D36" s="49"/>
      <c r="E36" s="49"/>
      <c r="F36" s="49"/>
      <c r="G36" s="49"/>
      <c r="H36" s="49"/>
      <c r="I36" s="272" t="s">
        <v>35</v>
      </c>
      <c r="L36" s="51"/>
    </row>
    <row r="37" customFormat="false" ht="18.75" hidden="false" customHeight="true" outlineLevel="0" collapsed="false">
      <c r="A37" s="17" t="s">
        <v>8</v>
      </c>
      <c r="B37" s="52" t="s">
        <v>251</v>
      </c>
      <c r="C37" s="52"/>
      <c r="D37" s="52"/>
      <c r="E37" s="52"/>
      <c r="F37" s="52"/>
      <c r="G37" s="52"/>
      <c r="H37" s="52"/>
      <c r="I37" s="273" t="n">
        <f aca="false">ROUND((I28*2)+(100*I31),2)</f>
        <v>3203.6</v>
      </c>
      <c r="L37" s="51"/>
    </row>
    <row r="38" customFormat="false" ht="31.5" hidden="false" customHeight="true" outlineLevel="0" collapsed="false">
      <c r="A38" s="17" t="s">
        <v>10</v>
      </c>
      <c r="B38" s="54" t="s">
        <v>243</v>
      </c>
      <c r="C38" s="54"/>
      <c r="D38" s="54"/>
      <c r="E38" s="54"/>
      <c r="F38" s="54"/>
      <c r="G38" s="54"/>
      <c r="H38" s="54"/>
      <c r="I38" s="273" t="n">
        <f aca="false">ROUND(I33*1*(60/52.5)*21*1,2)</f>
        <v>28.48</v>
      </c>
      <c r="L38" s="55"/>
    </row>
    <row r="39" customFormat="false" ht="31.5" hidden="false" customHeight="true" outlineLevel="0" collapsed="false">
      <c r="A39" s="17" t="s">
        <v>12</v>
      </c>
      <c r="B39" s="54" t="s">
        <v>220</v>
      </c>
      <c r="C39" s="54"/>
      <c r="D39" s="54"/>
      <c r="E39" s="54"/>
      <c r="F39" s="54"/>
      <c r="G39" s="54"/>
      <c r="H39" s="54"/>
      <c r="I39" s="336" t="n">
        <f aca="false">ROUND(I32*21*(60/52.5-1),2)</f>
        <v>26.7</v>
      </c>
      <c r="L39" s="55"/>
    </row>
    <row r="40" customFormat="false" ht="48" hidden="false" customHeight="true" outlineLevel="0" collapsed="false">
      <c r="A40" s="17" t="s">
        <v>14</v>
      </c>
      <c r="B40" s="54" t="s">
        <v>41</v>
      </c>
      <c r="C40" s="54"/>
      <c r="D40" s="54"/>
      <c r="E40" s="54"/>
      <c r="F40" s="54"/>
      <c r="G40" s="54"/>
      <c r="H40" s="54"/>
      <c r="I40" s="273"/>
      <c r="L40" s="57"/>
    </row>
    <row r="41" customFormat="false" ht="21" hidden="false" customHeight="true" outlineLevel="0" collapsed="false">
      <c r="A41" s="17" t="s">
        <v>40</v>
      </c>
      <c r="B41" s="58" t="s">
        <v>43</v>
      </c>
      <c r="C41" s="58"/>
      <c r="D41" s="58"/>
      <c r="E41" s="58"/>
      <c r="F41" s="58"/>
      <c r="G41" s="58"/>
      <c r="H41" s="58"/>
      <c r="I41" s="273" t="n">
        <f aca="false">SUM(I38:I40)*0.2</f>
        <v>11.036</v>
      </c>
      <c r="L41" s="57"/>
    </row>
    <row r="42" customFormat="false" ht="33" hidden="false" customHeight="true" outlineLevel="0" collapsed="false">
      <c r="A42" s="17" t="s">
        <v>42</v>
      </c>
      <c r="B42" s="341" t="s">
        <v>211</v>
      </c>
      <c r="C42" s="341"/>
      <c r="D42" s="341"/>
      <c r="E42" s="341"/>
      <c r="F42" s="341"/>
      <c r="G42" s="341"/>
      <c r="H42" s="341"/>
      <c r="I42" s="342" t="n">
        <v>210.4</v>
      </c>
      <c r="K42" s="59"/>
      <c r="M42" s="57"/>
    </row>
    <row r="43" customFormat="false" ht="21.75" hidden="false" customHeight="true" outlineLevel="0" collapsed="false">
      <c r="A43" s="60" t="s">
        <v>44</v>
      </c>
      <c r="B43" s="60"/>
      <c r="C43" s="60"/>
      <c r="D43" s="60"/>
      <c r="E43" s="60"/>
      <c r="F43" s="60"/>
      <c r="G43" s="60"/>
      <c r="H43" s="60"/>
      <c r="I43" s="275" t="n">
        <f aca="false">SUM(I37:I41)</f>
        <v>3269.816</v>
      </c>
    </row>
    <row r="44" customFormat="false" ht="15.75" hidden="false" customHeight="false" outlineLevel="0" collapsed="false">
      <c r="A44" s="47" t="s">
        <v>45</v>
      </c>
      <c r="B44" s="47"/>
      <c r="C44" s="47"/>
      <c r="D44" s="47"/>
      <c r="E44" s="47"/>
      <c r="F44" s="47"/>
      <c r="G44" s="47"/>
      <c r="H44" s="47"/>
      <c r="I44" s="47"/>
    </row>
    <row r="45" customFormat="false" ht="15.75" hidden="false" customHeight="false" outlineLevel="0" collapsed="false">
      <c r="A45" s="62" t="n">
        <v>2</v>
      </c>
      <c r="B45" s="63" t="s">
        <v>46</v>
      </c>
      <c r="C45" s="63"/>
      <c r="D45" s="63"/>
      <c r="E45" s="63"/>
      <c r="F45" s="63"/>
      <c r="G45" s="63"/>
      <c r="H45" s="63"/>
      <c r="I45" s="272" t="s">
        <v>35</v>
      </c>
    </row>
    <row r="46" customFormat="false" ht="18.75" hidden="false" customHeight="true" outlineLevel="0" collapsed="false">
      <c r="A46" s="64" t="s">
        <v>8</v>
      </c>
      <c r="B46" s="58" t="s">
        <v>47</v>
      </c>
      <c r="C46" s="58"/>
      <c r="D46" s="58"/>
      <c r="E46" s="58"/>
      <c r="F46" s="58"/>
      <c r="G46" s="58"/>
      <c r="H46" s="58"/>
      <c r="I46" s="273" t="n">
        <f aca="false">ROUND(((2*H48*H47*15)+(1*H48*H47*30)+(1*H48*H47*21))-(0.06*(I37+(I31*30))),2)</f>
        <v>283.11</v>
      </c>
      <c r="L46" s="66"/>
    </row>
    <row r="47" customFormat="false" ht="30" hidden="false" customHeight="true" outlineLevel="0" collapsed="false">
      <c r="A47" s="64"/>
      <c r="B47" s="277" t="s">
        <v>265</v>
      </c>
      <c r="C47" s="277"/>
      <c r="D47" s="277"/>
      <c r="E47" s="277"/>
      <c r="F47" s="277"/>
      <c r="G47" s="277"/>
      <c r="H47" s="278" t="n">
        <f aca="false">Dados!B15</f>
        <v>3</v>
      </c>
      <c r="I47" s="279"/>
    </row>
    <row r="48" customFormat="false" ht="15.75" hidden="false" customHeight="false" outlineLevel="0" collapsed="false">
      <c r="A48" s="64"/>
      <c r="B48" s="69" t="s">
        <v>49</v>
      </c>
      <c r="C48" s="69"/>
      <c r="D48" s="69"/>
      <c r="E48" s="69"/>
      <c r="F48" s="69"/>
      <c r="G48" s="69"/>
      <c r="H48" s="70" t="n">
        <v>2</v>
      </c>
      <c r="I48" s="279"/>
    </row>
    <row r="49" customFormat="false" ht="15.75" hidden="false" customHeight="true" outlineLevel="0" collapsed="false">
      <c r="A49" s="64" t="s">
        <v>10</v>
      </c>
      <c r="B49" s="54" t="s">
        <v>50</v>
      </c>
      <c r="C49" s="54"/>
      <c r="D49" s="54"/>
      <c r="E49" s="54"/>
      <c r="F49" s="54"/>
      <c r="G49" s="54"/>
      <c r="H49" s="54"/>
      <c r="I49" s="279" t="n">
        <f aca="false">ROUND(((2*15*H50)+(21*Dados!B4))*(1-0.18),2)</f>
        <v>555.52</v>
      </c>
    </row>
    <row r="50" customFormat="false" ht="15.75" hidden="false" customHeight="false" outlineLevel="0" collapsed="false">
      <c r="A50" s="64"/>
      <c r="B50" s="69" t="s">
        <v>51</v>
      </c>
      <c r="C50" s="69"/>
      <c r="D50" s="69"/>
      <c r="E50" s="69"/>
      <c r="F50" s="69"/>
      <c r="G50" s="69"/>
      <c r="H50" s="280" t="n">
        <f aca="false">Dados!B3</f>
        <v>16.73</v>
      </c>
      <c r="I50" s="281"/>
    </row>
    <row r="51" customFormat="false" ht="29.25" hidden="false" customHeight="true" outlineLevel="0" collapsed="false">
      <c r="A51" s="17" t="s">
        <v>12</v>
      </c>
      <c r="B51" s="58" t="s">
        <v>266</v>
      </c>
      <c r="C51" s="58"/>
      <c r="D51" s="58"/>
      <c r="E51" s="58"/>
      <c r="F51" s="58"/>
      <c r="G51" s="58"/>
      <c r="H51" s="58"/>
      <c r="I51" s="279" t="n">
        <f aca="false">ROUND(Dados!B5*(3+1),2)</f>
        <v>60.08</v>
      </c>
    </row>
    <row r="52" customFormat="false" ht="19.5" hidden="false" customHeight="true" outlineLevel="0" collapsed="false">
      <c r="A52" s="60" t="s">
        <v>53</v>
      </c>
      <c r="B52" s="60"/>
      <c r="C52" s="60"/>
      <c r="D52" s="60"/>
      <c r="E52" s="60"/>
      <c r="F52" s="60"/>
      <c r="G52" s="60"/>
      <c r="H52" s="60"/>
      <c r="I52" s="275" t="n">
        <f aca="false">SUM(I46:I51)</f>
        <v>898.71</v>
      </c>
    </row>
    <row r="53" customFormat="false" ht="15.75" hidden="false" customHeight="false" outlineLevel="0" collapsed="false">
      <c r="A53" s="73" t="s">
        <v>54</v>
      </c>
      <c r="B53" s="73"/>
      <c r="C53" s="73"/>
      <c r="D53" s="73"/>
      <c r="E53" s="73"/>
      <c r="F53" s="73"/>
      <c r="G53" s="73"/>
      <c r="H53" s="73"/>
      <c r="I53" s="73"/>
    </row>
    <row r="54" customFormat="false" ht="15.75" hidden="false" customHeight="false" outlineLevel="0" collapsed="false">
      <c r="A54" s="47" t="s">
        <v>55</v>
      </c>
      <c r="B54" s="47"/>
      <c r="C54" s="47"/>
      <c r="D54" s="47"/>
      <c r="E54" s="47"/>
      <c r="F54" s="47"/>
      <c r="G54" s="47"/>
      <c r="H54" s="47"/>
      <c r="I54" s="47"/>
    </row>
    <row r="55" customFormat="false" ht="15.75" hidden="false" customHeight="false" outlineLevel="0" collapsed="false">
      <c r="A55" s="62" t="n">
        <v>3</v>
      </c>
      <c r="B55" s="63" t="s">
        <v>56</v>
      </c>
      <c r="C55" s="63"/>
      <c r="D55" s="63"/>
      <c r="E55" s="63"/>
      <c r="F55" s="63"/>
      <c r="G55" s="63"/>
      <c r="H55" s="63"/>
      <c r="I55" s="272" t="s">
        <v>35</v>
      </c>
    </row>
    <row r="56" customFormat="false" ht="15.75" hidden="false" customHeight="false" outlineLevel="0" collapsed="false">
      <c r="A56" s="64" t="s">
        <v>8</v>
      </c>
      <c r="B56" s="74" t="s">
        <v>267</v>
      </c>
      <c r="C56" s="74"/>
      <c r="D56" s="74"/>
      <c r="E56" s="74"/>
      <c r="F56" s="74"/>
      <c r="G56" s="74"/>
      <c r="H56" s="74"/>
      <c r="I56" s="282" t="n">
        <f aca="false">ROUND(Dados!D6*(3+1),2)</f>
        <v>275.35</v>
      </c>
      <c r="J56" s="76"/>
      <c r="K56" s="77"/>
    </row>
    <row r="57" customFormat="false" ht="15.75" hidden="false" customHeight="false" outlineLevel="0" collapsed="false">
      <c r="A57" s="60" t="s">
        <v>58</v>
      </c>
      <c r="B57" s="60"/>
      <c r="C57" s="60"/>
      <c r="D57" s="60"/>
      <c r="E57" s="60"/>
      <c r="F57" s="60"/>
      <c r="G57" s="60"/>
      <c r="H57" s="60"/>
      <c r="I57" s="283" t="n">
        <f aca="false">SUM(I56:I56)</f>
        <v>275.35</v>
      </c>
    </row>
    <row r="58" customFormat="false" ht="15.75" hidden="false" customHeight="false" outlineLevel="0" collapsed="false">
      <c r="A58" s="47" t="s">
        <v>59</v>
      </c>
      <c r="B58" s="47"/>
      <c r="C58" s="47"/>
      <c r="D58" s="47"/>
      <c r="E58" s="47"/>
      <c r="F58" s="47"/>
      <c r="G58" s="47"/>
      <c r="H58" s="47"/>
      <c r="I58" s="47"/>
    </row>
    <row r="59" customFormat="false" ht="15.75" hidden="false" customHeight="false" outlineLevel="0" collapsed="false">
      <c r="A59" s="79" t="s">
        <v>60</v>
      </c>
      <c r="B59" s="79"/>
      <c r="C59" s="79"/>
      <c r="D59" s="79"/>
      <c r="E59" s="79"/>
      <c r="F59" s="79"/>
      <c r="G59" s="79"/>
      <c r="H59" s="79"/>
      <c r="I59" s="79"/>
    </row>
    <row r="60" customFormat="false" ht="15.75" hidden="false" customHeight="false" outlineLevel="0" collapsed="false">
      <c r="A60" s="62" t="s">
        <v>61</v>
      </c>
      <c r="B60" s="80" t="s">
        <v>62</v>
      </c>
      <c r="C60" s="80"/>
      <c r="D60" s="80"/>
      <c r="E60" s="80"/>
      <c r="F60" s="80"/>
      <c r="G60" s="80"/>
      <c r="H60" s="81" t="s">
        <v>63</v>
      </c>
      <c r="I60" s="272" t="s">
        <v>35</v>
      </c>
    </row>
    <row r="61" customFormat="false" ht="15.75" hidden="false" customHeight="false" outlineLevel="0" collapsed="false">
      <c r="A61" s="82" t="s">
        <v>8</v>
      </c>
      <c r="B61" s="83" t="s">
        <v>64</v>
      </c>
      <c r="C61" s="83"/>
      <c r="D61" s="83"/>
      <c r="E61" s="83"/>
      <c r="F61" s="83"/>
      <c r="G61" s="83"/>
      <c r="H61" s="84" t="n">
        <v>0.2</v>
      </c>
      <c r="I61" s="273" t="n">
        <f aca="false">ROUND($I$43*H61,2)</f>
        <v>653.96</v>
      </c>
      <c r="K61" s="66"/>
    </row>
    <row r="62" customFormat="false" ht="15.75" hidden="false" customHeight="false" outlineLevel="0" collapsed="false">
      <c r="A62" s="82" t="s">
        <v>10</v>
      </c>
      <c r="B62" s="83" t="s">
        <v>65</v>
      </c>
      <c r="C62" s="83"/>
      <c r="D62" s="83"/>
      <c r="E62" s="83"/>
      <c r="F62" s="83"/>
      <c r="G62" s="83"/>
      <c r="H62" s="85" t="n">
        <v>0.015</v>
      </c>
      <c r="I62" s="273" t="n">
        <f aca="false">ROUND($I$43*H62,2)</f>
        <v>49.05</v>
      </c>
      <c r="K62" s="66"/>
    </row>
    <row r="63" customFormat="false" ht="15.75" hidden="false" customHeight="false" outlineLevel="0" collapsed="false">
      <c r="A63" s="82" t="s">
        <v>12</v>
      </c>
      <c r="B63" s="83" t="s">
        <v>66</v>
      </c>
      <c r="C63" s="83"/>
      <c r="D63" s="83"/>
      <c r="E63" s="83"/>
      <c r="F63" s="83"/>
      <c r="G63" s="83"/>
      <c r="H63" s="84" t="n">
        <v>0.01</v>
      </c>
      <c r="I63" s="273" t="n">
        <f aca="false">ROUND($I$43*H63,2)</f>
        <v>32.7</v>
      </c>
      <c r="K63" s="66"/>
    </row>
    <row r="64" customFormat="false" ht="15.75" hidden="false" customHeight="false" outlineLevel="0" collapsed="false">
      <c r="A64" s="82" t="s">
        <v>14</v>
      </c>
      <c r="B64" s="83" t="s">
        <v>67</v>
      </c>
      <c r="C64" s="83"/>
      <c r="D64" s="83"/>
      <c r="E64" s="83"/>
      <c r="F64" s="83"/>
      <c r="G64" s="83"/>
      <c r="H64" s="86" t="n">
        <v>0.002</v>
      </c>
      <c r="I64" s="273" t="n">
        <f aca="false">ROUND($I$43*H64,2)</f>
        <v>6.54</v>
      </c>
      <c r="K64" s="66"/>
    </row>
    <row r="65" customFormat="false" ht="15.75" hidden="false" customHeight="false" outlineLevel="0" collapsed="false">
      <c r="A65" s="82" t="s">
        <v>40</v>
      </c>
      <c r="B65" s="83" t="s">
        <v>68</v>
      </c>
      <c r="C65" s="83"/>
      <c r="D65" s="83"/>
      <c r="E65" s="83"/>
      <c r="F65" s="83"/>
      <c r="G65" s="83"/>
      <c r="H65" s="86" t="n">
        <v>0.025</v>
      </c>
      <c r="I65" s="273" t="n">
        <f aca="false">ROUND($I$43*H65,2)</f>
        <v>81.75</v>
      </c>
      <c r="K65" s="66"/>
    </row>
    <row r="66" customFormat="false" ht="15.75" hidden="false" customHeight="false" outlineLevel="0" collapsed="false">
      <c r="A66" s="82" t="s">
        <v>42</v>
      </c>
      <c r="B66" s="83" t="s">
        <v>69</v>
      </c>
      <c r="C66" s="83"/>
      <c r="D66" s="83"/>
      <c r="E66" s="83"/>
      <c r="F66" s="83"/>
      <c r="G66" s="83"/>
      <c r="H66" s="84" t="n">
        <v>0.08</v>
      </c>
      <c r="I66" s="273" t="n">
        <f aca="false">ROUND($I$43*H66,2)</f>
        <v>261.59</v>
      </c>
      <c r="K66" s="66"/>
    </row>
    <row r="67" customFormat="false" ht="15.75" hidden="false" customHeight="false" outlineLevel="0" collapsed="false">
      <c r="A67" s="82" t="s">
        <v>70</v>
      </c>
      <c r="B67" s="87" t="s">
        <v>71</v>
      </c>
      <c r="C67" s="87"/>
      <c r="D67" s="87"/>
      <c r="E67" s="87"/>
      <c r="F67" s="88" t="s">
        <v>72</v>
      </c>
      <c r="G67" s="89" t="s">
        <v>196</v>
      </c>
      <c r="H67" s="86" t="n">
        <v>0.015</v>
      </c>
      <c r="I67" s="273" t="n">
        <f aca="false">ROUND($I$43*H67,2)</f>
        <v>49.05</v>
      </c>
      <c r="K67" s="66"/>
    </row>
    <row r="68" customFormat="false" ht="15.75" hidden="false" customHeight="false" outlineLevel="0" collapsed="false">
      <c r="A68" s="82" t="s">
        <v>74</v>
      </c>
      <c r="B68" s="83" t="s">
        <v>75</v>
      </c>
      <c r="C68" s="83"/>
      <c r="D68" s="83"/>
      <c r="E68" s="83"/>
      <c r="F68" s="83"/>
      <c r="G68" s="83"/>
      <c r="H68" s="86" t="n">
        <v>0.006</v>
      </c>
      <c r="I68" s="273" t="n">
        <f aca="false">ROUND($I$43*H68,2)</f>
        <v>19.62</v>
      </c>
      <c r="K68" s="66"/>
    </row>
    <row r="69" customFormat="false" ht="15.75" hidden="false" customHeight="false" outlineLevel="0" collapsed="false">
      <c r="A69" s="90" t="s">
        <v>76</v>
      </c>
      <c r="B69" s="90"/>
      <c r="C69" s="90"/>
      <c r="D69" s="90"/>
      <c r="E69" s="90"/>
      <c r="F69" s="90"/>
      <c r="G69" s="90"/>
      <c r="H69" s="91" t="n">
        <f aca="false">SUM(H61:H68)</f>
        <v>0.353</v>
      </c>
      <c r="I69" s="284" t="n">
        <f aca="false">SUM(I61:I68)</f>
        <v>1154.26</v>
      </c>
      <c r="K69" s="66"/>
    </row>
    <row r="70" customFormat="false" ht="15.75" hidden="false" customHeight="false" outlineLevel="0" collapsed="false">
      <c r="A70" s="93" t="s">
        <v>77</v>
      </c>
      <c r="B70" s="93"/>
      <c r="C70" s="93"/>
      <c r="D70" s="93"/>
      <c r="E70" s="93"/>
      <c r="F70" s="93"/>
      <c r="G70" s="93"/>
      <c r="H70" s="93"/>
      <c r="I70" s="93"/>
    </row>
    <row r="71" customFormat="false" ht="15.75" hidden="false" customHeight="false" outlineLevel="0" collapsed="false">
      <c r="A71" s="94" t="s">
        <v>78</v>
      </c>
      <c r="B71" s="94"/>
      <c r="C71" s="94"/>
      <c r="D71" s="94"/>
      <c r="E71" s="94"/>
      <c r="F71" s="94"/>
      <c r="G71" s="94"/>
      <c r="H71" s="94"/>
      <c r="I71" s="94"/>
    </row>
    <row r="72" customFormat="false" ht="15.75" hidden="false" customHeight="false" outlineLevel="0" collapsed="false">
      <c r="A72" s="79" t="s">
        <v>79</v>
      </c>
      <c r="B72" s="79"/>
      <c r="C72" s="79"/>
      <c r="D72" s="79"/>
      <c r="E72" s="79"/>
      <c r="F72" s="79"/>
      <c r="G72" s="79"/>
      <c r="H72" s="79"/>
      <c r="I72" s="79"/>
    </row>
    <row r="73" customFormat="false" ht="15.75" hidden="false" customHeight="false" outlineLevel="0" collapsed="false">
      <c r="A73" s="62" t="s">
        <v>80</v>
      </c>
      <c r="B73" s="81" t="s">
        <v>81</v>
      </c>
      <c r="C73" s="81"/>
      <c r="D73" s="81"/>
      <c r="E73" s="81"/>
      <c r="F73" s="81"/>
      <c r="G73" s="81"/>
      <c r="H73" s="81"/>
      <c r="I73" s="272" t="s">
        <v>35</v>
      </c>
    </row>
    <row r="74" customFormat="false" ht="29.25" hidden="false" customHeight="true" outlineLevel="0" collapsed="false">
      <c r="A74" s="17" t="s">
        <v>8</v>
      </c>
      <c r="B74" s="95" t="s">
        <v>82</v>
      </c>
      <c r="C74" s="95"/>
      <c r="D74" s="95"/>
      <c r="E74" s="95"/>
      <c r="F74" s="95"/>
      <c r="G74" s="95"/>
      <c r="H74" s="95"/>
      <c r="I74" s="285" t="n">
        <f aca="false">ROUND(I43/12,2)</f>
        <v>272.48</v>
      </c>
      <c r="K74" s="66"/>
    </row>
    <row r="75" customFormat="false" ht="15.75" hidden="false" customHeight="false" outlineLevel="0" collapsed="false">
      <c r="A75" s="97" t="s">
        <v>83</v>
      </c>
      <c r="B75" s="97"/>
      <c r="C75" s="97"/>
      <c r="D75" s="97"/>
      <c r="E75" s="97"/>
      <c r="F75" s="97"/>
      <c r="G75" s="97"/>
      <c r="H75" s="97"/>
      <c r="I75" s="273" t="n">
        <f aca="false">SUM(I74:I74)</f>
        <v>272.48</v>
      </c>
      <c r="K75" s="66"/>
    </row>
    <row r="76" customFormat="false" ht="15.75" hidden="false" customHeight="false" outlineLevel="0" collapsed="false">
      <c r="A76" s="17" t="s">
        <v>10</v>
      </c>
      <c r="B76" s="83" t="s">
        <v>84</v>
      </c>
      <c r="C76" s="83"/>
      <c r="D76" s="83"/>
      <c r="E76" s="83"/>
      <c r="F76" s="83"/>
      <c r="G76" s="83"/>
      <c r="H76" s="83"/>
      <c r="I76" s="273" t="n">
        <f aca="false">ROUND(I75*H69,2)</f>
        <v>96.19</v>
      </c>
      <c r="K76" s="66"/>
    </row>
    <row r="77" customFormat="false" ht="15.75" hidden="false" customHeight="false" outlineLevel="0" collapsed="false">
      <c r="A77" s="60" t="s">
        <v>76</v>
      </c>
      <c r="B77" s="60"/>
      <c r="C77" s="60"/>
      <c r="D77" s="60"/>
      <c r="E77" s="60"/>
      <c r="F77" s="60"/>
      <c r="G77" s="60"/>
      <c r="H77" s="60"/>
      <c r="I77" s="275" t="n">
        <f aca="false">SUM(I75:I76)</f>
        <v>368.67</v>
      </c>
      <c r="K77" s="66"/>
    </row>
    <row r="78" customFormat="false" ht="15.75" hidden="false" customHeight="false" outlineLevel="0" collapsed="false">
      <c r="A78" s="79" t="s">
        <v>85</v>
      </c>
      <c r="B78" s="79"/>
      <c r="C78" s="79"/>
      <c r="D78" s="79"/>
      <c r="E78" s="79"/>
      <c r="F78" s="79"/>
      <c r="G78" s="79"/>
      <c r="H78" s="79"/>
      <c r="I78" s="79"/>
    </row>
    <row r="79" customFormat="false" ht="15.75" hidden="false" customHeight="false" outlineLevel="0" collapsed="false">
      <c r="A79" s="62" t="s">
        <v>86</v>
      </c>
      <c r="B79" s="81" t="s">
        <v>87</v>
      </c>
      <c r="C79" s="81"/>
      <c r="D79" s="81"/>
      <c r="E79" s="81"/>
      <c r="F79" s="81"/>
      <c r="G79" s="81"/>
      <c r="H79" s="81"/>
      <c r="I79" s="272" t="s">
        <v>35</v>
      </c>
    </row>
    <row r="80" customFormat="false" ht="15.75" hidden="false" customHeight="false" outlineLevel="0" collapsed="false">
      <c r="A80" s="17" t="s">
        <v>8</v>
      </c>
      <c r="B80" s="52" t="s">
        <v>88</v>
      </c>
      <c r="C80" s="52"/>
      <c r="D80" s="52"/>
      <c r="E80" s="52"/>
      <c r="F80" s="52"/>
      <c r="G80" s="52"/>
      <c r="H80" s="52"/>
      <c r="I80" s="282" t="n">
        <f aca="false">ROUND((((I43+I43/3)*(4/12))/12)*0.02,2)</f>
        <v>2.42</v>
      </c>
    </row>
    <row r="81" customFormat="false" ht="15.75" hidden="false" customHeight="false" outlineLevel="0" collapsed="false">
      <c r="A81" s="17" t="s">
        <v>10</v>
      </c>
      <c r="B81" s="83" t="s">
        <v>89</v>
      </c>
      <c r="C81" s="83"/>
      <c r="D81" s="83"/>
      <c r="E81" s="83"/>
      <c r="F81" s="83"/>
      <c r="G81" s="83"/>
      <c r="H81" s="83"/>
      <c r="I81" s="282" t="n">
        <f aca="false">ROUND(I80*H69,2)</f>
        <v>0.85</v>
      </c>
    </row>
    <row r="82" customFormat="false" ht="15.75" hidden="false" customHeight="false" outlineLevel="0" collapsed="false">
      <c r="A82" s="60" t="s">
        <v>76</v>
      </c>
      <c r="B82" s="60"/>
      <c r="C82" s="60"/>
      <c r="D82" s="60"/>
      <c r="E82" s="60"/>
      <c r="F82" s="60"/>
      <c r="G82" s="60"/>
      <c r="H82" s="60"/>
      <c r="I82" s="275" t="n">
        <f aca="false">SUM(I80:I81)</f>
        <v>3.27</v>
      </c>
    </row>
    <row r="83" customFormat="false" ht="15.75" hidden="false" customHeight="false" outlineLevel="0" collapsed="false">
      <c r="A83" s="79" t="s">
        <v>90</v>
      </c>
      <c r="B83" s="79"/>
      <c r="C83" s="79"/>
      <c r="D83" s="79"/>
      <c r="E83" s="79"/>
      <c r="F83" s="79"/>
      <c r="G83" s="79"/>
      <c r="H83" s="79"/>
      <c r="I83" s="79"/>
    </row>
    <row r="84" customFormat="false" ht="15.75" hidden="false" customHeight="false" outlineLevel="0" collapsed="false">
      <c r="A84" s="62" t="s">
        <v>91</v>
      </c>
      <c r="B84" s="81" t="s">
        <v>92</v>
      </c>
      <c r="C84" s="81"/>
      <c r="D84" s="81"/>
      <c r="E84" s="81"/>
      <c r="F84" s="81"/>
      <c r="G84" s="81"/>
      <c r="H84" s="81"/>
      <c r="I84" s="272" t="s">
        <v>35</v>
      </c>
    </row>
    <row r="85" customFormat="false" ht="15.75" hidden="false" customHeight="true" outlineLevel="0" collapsed="false">
      <c r="A85" s="17" t="s">
        <v>8</v>
      </c>
      <c r="B85" s="99" t="s">
        <v>93</v>
      </c>
      <c r="C85" s="99"/>
      <c r="D85" s="99"/>
      <c r="E85" s="99"/>
      <c r="F85" s="99"/>
      <c r="G85" s="99"/>
      <c r="H85" s="99"/>
      <c r="I85" s="273" t="n">
        <f aca="false">ROUND((I43/12)*(30/30)*0.05,2)</f>
        <v>13.62</v>
      </c>
    </row>
    <row r="86" customFormat="false" ht="15.75" hidden="false" customHeight="true" outlineLevel="0" collapsed="false">
      <c r="A86" s="17" t="s">
        <v>10</v>
      </c>
      <c r="B86" s="83" t="s">
        <v>94</v>
      </c>
      <c r="C86" s="83"/>
      <c r="D86" s="83"/>
      <c r="E86" s="83"/>
      <c r="F86" s="83"/>
      <c r="G86" s="83"/>
      <c r="H86" s="83"/>
      <c r="I86" s="273" t="n">
        <f aca="false">ROUND(I85*H66,2)</f>
        <v>1.09</v>
      </c>
    </row>
    <row r="87" customFormat="false" ht="49.5" hidden="false" customHeight="true" outlineLevel="0" collapsed="false">
      <c r="A87" s="17" t="s">
        <v>12</v>
      </c>
      <c r="B87" s="95" t="s">
        <v>95</v>
      </c>
      <c r="C87" s="95"/>
      <c r="D87" s="95"/>
      <c r="E87" s="95"/>
      <c r="F87" s="95"/>
      <c r="G87" s="95"/>
      <c r="H87" s="95"/>
      <c r="I87" s="285" t="n">
        <f aca="false">ROUND(0.0024*I43,2)</f>
        <v>7.85</v>
      </c>
      <c r="K87" s="66"/>
    </row>
    <row r="88" customFormat="false" ht="30.75" hidden="false" customHeight="true" outlineLevel="0" collapsed="false">
      <c r="A88" s="100" t="s">
        <v>14</v>
      </c>
      <c r="B88" s="99" t="s">
        <v>96</v>
      </c>
      <c r="C88" s="99"/>
      <c r="D88" s="99"/>
      <c r="E88" s="99"/>
      <c r="F88" s="99"/>
      <c r="G88" s="99"/>
      <c r="H88" s="99"/>
      <c r="I88" s="273" t="n">
        <v>0</v>
      </c>
      <c r="N88" s="101"/>
    </row>
    <row r="89" customFormat="false" ht="18" hidden="false" customHeight="true" outlineLevel="0" collapsed="false">
      <c r="A89" s="17" t="s">
        <v>40</v>
      </c>
      <c r="B89" s="83" t="s">
        <v>97</v>
      </c>
      <c r="C89" s="83"/>
      <c r="D89" s="83"/>
      <c r="E89" s="83"/>
      <c r="F89" s="83"/>
      <c r="G89" s="83"/>
      <c r="H89" s="83"/>
      <c r="I89" s="273" t="n">
        <f aca="false">ROUND(I88*H69,2)</f>
        <v>0</v>
      </c>
      <c r="J89" s="13"/>
      <c r="K89" s="13"/>
      <c r="L89" s="102"/>
    </row>
    <row r="90" customFormat="false" ht="48.75" hidden="false" customHeight="true" outlineLevel="0" collapsed="false">
      <c r="A90" s="17" t="s">
        <v>42</v>
      </c>
      <c r="B90" s="95" t="s">
        <v>98</v>
      </c>
      <c r="C90" s="95"/>
      <c r="D90" s="95"/>
      <c r="E90" s="95"/>
      <c r="F90" s="95"/>
      <c r="G90" s="95"/>
      <c r="H90" s="95"/>
      <c r="I90" s="285" t="n">
        <f aca="false">ROUND(0.0476*I43,2)</f>
        <v>155.64</v>
      </c>
      <c r="J90" s="13"/>
      <c r="K90" s="66"/>
      <c r="L90" s="13"/>
    </row>
    <row r="91" customFormat="false" ht="20.25" hidden="false" customHeight="true" outlineLevel="0" collapsed="false">
      <c r="A91" s="60" t="s">
        <v>76</v>
      </c>
      <c r="B91" s="60"/>
      <c r="C91" s="60"/>
      <c r="D91" s="60"/>
      <c r="E91" s="60"/>
      <c r="F91" s="60"/>
      <c r="G91" s="60"/>
      <c r="H91" s="60"/>
      <c r="I91" s="275" t="n">
        <f aca="false">SUM(I85:I90)</f>
        <v>178.2</v>
      </c>
    </row>
    <row r="92" customFormat="false" ht="20.25" hidden="false" customHeight="true" outlineLevel="0" collapsed="false">
      <c r="A92" s="79" t="s">
        <v>99</v>
      </c>
      <c r="B92" s="79"/>
      <c r="C92" s="79"/>
      <c r="D92" s="79"/>
      <c r="E92" s="79"/>
      <c r="F92" s="79"/>
      <c r="G92" s="79"/>
      <c r="H92" s="79"/>
      <c r="I92" s="79"/>
    </row>
    <row r="93" customFormat="false" ht="15.75" hidden="false" customHeight="false" outlineLevel="0" collapsed="false">
      <c r="A93" s="62" t="s">
        <v>100</v>
      </c>
      <c r="B93" s="81" t="s">
        <v>101</v>
      </c>
      <c r="C93" s="81"/>
      <c r="D93" s="81"/>
      <c r="E93" s="81"/>
      <c r="F93" s="81"/>
      <c r="G93" s="81"/>
      <c r="H93" s="81"/>
      <c r="I93" s="272" t="s">
        <v>35</v>
      </c>
    </row>
    <row r="94" customFormat="false" ht="49.5" hidden="false" customHeight="true" outlineLevel="0" collapsed="false">
      <c r="A94" s="17" t="s">
        <v>8</v>
      </c>
      <c r="B94" s="95" t="s">
        <v>102</v>
      </c>
      <c r="C94" s="95"/>
      <c r="D94" s="95"/>
      <c r="E94" s="95"/>
      <c r="F94" s="95"/>
      <c r="G94" s="95"/>
      <c r="H94" s="95"/>
      <c r="I94" s="285" t="n">
        <f aca="false">ROUND(0.121*I43,2)</f>
        <v>395.65</v>
      </c>
      <c r="K94" s="66"/>
    </row>
    <row r="95" customFormat="false" ht="17.25" hidden="false" customHeight="true" outlineLevel="0" collapsed="false">
      <c r="A95" s="17" t="s">
        <v>10</v>
      </c>
      <c r="B95" s="52" t="s">
        <v>103</v>
      </c>
      <c r="C95" s="52"/>
      <c r="D95" s="52"/>
      <c r="E95" s="52"/>
      <c r="F95" s="52"/>
      <c r="G95" s="52"/>
      <c r="H95" s="52"/>
      <c r="I95" s="273" t="n">
        <f aca="false">ROUND(((I43/30)*5)/12,2)</f>
        <v>45.41</v>
      </c>
    </row>
    <row r="96" customFormat="false" ht="16.5" hidden="false" customHeight="true" outlineLevel="0" collapsed="false">
      <c r="A96" s="17" t="s">
        <v>12</v>
      </c>
      <c r="B96" s="52" t="s">
        <v>104</v>
      </c>
      <c r="C96" s="52"/>
      <c r="D96" s="52"/>
      <c r="E96" s="52"/>
      <c r="F96" s="52"/>
      <c r="G96" s="52"/>
      <c r="H96" s="52"/>
      <c r="I96" s="273" t="n">
        <f aca="false">ROUND((((I43/30)*5)/12)*0.015,2)</f>
        <v>0.68</v>
      </c>
    </row>
    <row r="97" customFormat="false" ht="17.25" hidden="false" customHeight="true" outlineLevel="0" collapsed="false">
      <c r="A97" s="17" t="s">
        <v>14</v>
      </c>
      <c r="B97" s="52" t="s">
        <v>105</v>
      </c>
      <c r="C97" s="52"/>
      <c r="D97" s="52"/>
      <c r="E97" s="52"/>
      <c r="F97" s="52"/>
      <c r="G97" s="52"/>
      <c r="H97" s="52"/>
      <c r="I97" s="273" t="n">
        <f aca="false">ROUND(((I43/30)*2.96)/12,2)</f>
        <v>26.89</v>
      </c>
    </row>
    <row r="98" customFormat="false" ht="16.5" hidden="false" customHeight="true" outlineLevel="0" collapsed="false">
      <c r="A98" s="17" t="s">
        <v>40</v>
      </c>
      <c r="B98" s="52" t="s">
        <v>106</v>
      </c>
      <c r="C98" s="52"/>
      <c r="D98" s="52"/>
      <c r="E98" s="52"/>
      <c r="F98" s="52"/>
      <c r="G98" s="52"/>
      <c r="H98" s="52"/>
      <c r="I98" s="273" t="n">
        <f aca="false">ROUND((((I43/30)*15)/12)*0.0078,2)</f>
        <v>1.06</v>
      </c>
    </row>
    <row r="99" customFormat="false" ht="18" hidden="false" customHeight="true" outlineLevel="0" collapsed="false">
      <c r="A99" s="97" t="s">
        <v>83</v>
      </c>
      <c r="B99" s="97"/>
      <c r="C99" s="97"/>
      <c r="D99" s="97"/>
      <c r="E99" s="97"/>
      <c r="F99" s="97"/>
      <c r="G99" s="97"/>
      <c r="H99" s="97"/>
      <c r="I99" s="281" t="n">
        <f aca="false">SUM(I94:I98)</f>
        <v>469.69</v>
      </c>
      <c r="K99" s="66"/>
    </row>
    <row r="100" customFormat="false" ht="15.75" hidden="false" customHeight="true" outlineLevel="0" collapsed="false">
      <c r="A100" s="17" t="s">
        <v>70</v>
      </c>
      <c r="B100" s="83" t="s">
        <v>107</v>
      </c>
      <c r="C100" s="83"/>
      <c r="D100" s="83"/>
      <c r="E100" s="83"/>
      <c r="F100" s="83"/>
      <c r="G100" s="83"/>
      <c r="H100" s="83"/>
      <c r="I100" s="286" t="n">
        <f aca="false">ROUND(I99*H69,2)</f>
        <v>165.8</v>
      </c>
      <c r="K100" s="66"/>
    </row>
    <row r="101" customFormat="false" ht="15.75" hidden="true" customHeight="false" outlineLevel="0" collapsed="false">
      <c r="A101" s="60" t="s">
        <v>76</v>
      </c>
      <c r="B101" s="60"/>
      <c r="C101" s="60"/>
      <c r="D101" s="60"/>
      <c r="E101" s="60"/>
      <c r="F101" s="60"/>
      <c r="G101" s="60"/>
      <c r="H101" s="60"/>
      <c r="I101" s="275" t="n">
        <f aca="false">SUM(I99+I100)</f>
        <v>635.49</v>
      </c>
      <c r="K101" s="66"/>
    </row>
    <row r="102" customFormat="false" ht="15.75" hidden="false" customHeight="false" outlineLevel="0" collapsed="false">
      <c r="A102" s="104" t="s">
        <v>108</v>
      </c>
      <c r="B102" s="104"/>
      <c r="C102" s="104"/>
      <c r="D102" s="104"/>
      <c r="E102" s="104"/>
      <c r="F102" s="104"/>
      <c r="G102" s="104"/>
      <c r="H102" s="104"/>
      <c r="I102" s="104"/>
    </row>
    <row r="103" customFormat="false" ht="15.75" hidden="false" customHeight="false" outlineLevel="0" collapsed="false">
      <c r="A103" s="62" t="n">
        <v>4</v>
      </c>
      <c r="B103" s="81" t="s">
        <v>109</v>
      </c>
      <c r="C103" s="81"/>
      <c r="D103" s="81"/>
      <c r="E103" s="81"/>
      <c r="F103" s="81"/>
      <c r="G103" s="81"/>
      <c r="H103" s="81"/>
      <c r="I103" s="272" t="s">
        <v>35</v>
      </c>
    </row>
    <row r="104" customFormat="false" ht="15.75" hidden="false" customHeight="false" outlineLevel="0" collapsed="false">
      <c r="A104" s="17" t="s">
        <v>61</v>
      </c>
      <c r="B104" s="83" t="s">
        <v>62</v>
      </c>
      <c r="C104" s="83"/>
      <c r="D104" s="83"/>
      <c r="E104" s="83"/>
      <c r="F104" s="83"/>
      <c r="G104" s="83"/>
      <c r="H104" s="83"/>
      <c r="I104" s="282" t="n">
        <f aca="false">I69</f>
        <v>1154.26</v>
      </c>
    </row>
    <row r="105" customFormat="false" ht="15.75" hidden="false" customHeight="false" outlineLevel="0" collapsed="false">
      <c r="A105" s="17" t="s">
        <v>80</v>
      </c>
      <c r="B105" s="83" t="s">
        <v>110</v>
      </c>
      <c r="C105" s="83"/>
      <c r="D105" s="83"/>
      <c r="E105" s="83"/>
      <c r="F105" s="83"/>
      <c r="G105" s="83"/>
      <c r="H105" s="83"/>
      <c r="I105" s="282" t="n">
        <f aca="false">I77</f>
        <v>368.67</v>
      </c>
    </row>
    <row r="106" customFormat="false" ht="15.75" hidden="false" customHeight="false" outlineLevel="0" collapsed="false">
      <c r="A106" s="17" t="s">
        <v>86</v>
      </c>
      <c r="B106" s="83" t="s">
        <v>87</v>
      </c>
      <c r="C106" s="83"/>
      <c r="D106" s="83"/>
      <c r="E106" s="83"/>
      <c r="F106" s="83"/>
      <c r="G106" s="83"/>
      <c r="H106" s="83"/>
      <c r="I106" s="282" t="n">
        <f aca="false">I82</f>
        <v>3.27</v>
      </c>
    </row>
    <row r="107" customFormat="false" ht="15.75" hidden="false" customHeight="false" outlineLevel="0" collapsed="false">
      <c r="A107" s="17" t="s">
        <v>91</v>
      </c>
      <c r="B107" s="83" t="s">
        <v>111</v>
      </c>
      <c r="C107" s="83"/>
      <c r="D107" s="83"/>
      <c r="E107" s="83"/>
      <c r="F107" s="83"/>
      <c r="G107" s="83"/>
      <c r="H107" s="83"/>
      <c r="I107" s="282" t="n">
        <f aca="false">I91</f>
        <v>178.2</v>
      </c>
    </row>
    <row r="108" customFormat="false" ht="15.75" hidden="false" customHeight="false" outlineLevel="0" collapsed="false">
      <c r="A108" s="17" t="s">
        <v>100</v>
      </c>
      <c r="B108" s="83" t="s">
        <v>112</v>
      </c>
      <c r="C108" s="83"/>
      <c r="D108" s="83"/>
      <c r="E108" s="83"/>
      <c r="F108" s="83"/>
      <c r="G108" s="83"/>
      <c r="H108" s="83"/>
      <c r="I108" s="282" t="n">
        <f aca="false">I101</f>
        <v>635.49</v>
      </c>
    </row>
    <row r="109" customFormat="false" ht="15.75" hidden="false" customHeight="false" outlineLevel="0" collapsed="false">
      <c r="A109" s="60" t="s">
        <v>76</v>
      </c>
      <c r="B109" s="60"/>
      <c r="C109" s="60"/>
      <c r="D109" s="60"/>
      <c r="E109" s="60"/>
      <c r="F109" s="60"/>
      <c r="G109" s="60"/>
      <c r="H109" s="60"/>
      <c r="I109" s="275" t="n">
        <f aca="false">SUM(I104:I108)</f>
        <v>2339.89</v>
      </c>
      <c r="K109" s="106"/>
    </row>
    <row r="110" customFormat="false" ht="23.25" hidden="false" customHeight="true" outlineLevel="0" collapsed="false">
      <c r="A110" s="107" t="s">
        <v>113</v>
      </c>
      <c r="B110" s="107"/>
      <c r="C110" s="107"/>
      <c r="D110" s="107"/>
      <c r="E110" s="107"/>
      <c r="F110" s="107"/>
      <c r="G110" s="107"/>
      <c r="H110" s="107"/>
      <c r="I110" s="107"/>
    </row>
    <row r="111" customFormat="false" ht="15.75" hidden="false" customHeight="false" outlineLevel="0" collapsed="false">
      <c r="A111" s="62" t="n">
        <v>5</v>
      </c>
      <c r="B111" s="63" t="s">
        <v>114</v>
      </c>
      <c r="C111" s="63"/>
      <c r="D111" s="63"/>
      <c r="E111" s="63"/>
      <c r="F111" s="63"/>
      <c r="G111" s="63"/>
      <c r="H111" s="108" t="s">
        <v>63</v>
      </c>
      <c r="I111" s="272" t="s">
        <v>35</v>
      </c>
    </row>
    <row r="112" customFormat="false" ht="46.5" hidden="false" customHeight="true" outlineLevel="0" collapsed="false">
      <c r="A112" s="109" t="s">
        <v>115</v>
      </c>
      <c r="B112" s="109"/>
      <c r="C112" s="109"/>
      <c r="D112" s="109"/>
      <c r="E112" s="109"/>
      <c r="F112" s="109"/>
      <c r="G112" s="109"/>
      <c r="H112" s="110" t="n">
        <v>0</v>
      </c>
      <c r="I112" s="287" t="n">
        <f aca="false">(I43+I52+I57+I109)</f>
        <v>6783.766</v>
      </c>
    </row>
    <row r="113" customFormat="false" ht="15.75" hidden="false" customHeight="false" outlineLevel="0" collapsed="false">
      <c r="A113" s="17" t="s">
        <v>8</v>
      </c>
      <c r="B113" s="83" t="s">
        <v>116</v>
      </c>
      <c r="C113" s="83"/>
      <c r="D113" s="83"/>
      <c r="E113" s="83"/>
      <c r="F113" s="83"/>
      <c r="G113" s="83"/>
      <c r="H113" s="112" t="n">
        <f aca="false">'Dom Pedrito 4.2'!H110</f>
        <v>0.1207</v>
      </c>
      <c r="I113" s="273" t="n">
        <f aca="false">ROUND(I112*H113,2)</f>
        <v>818.8</v>
      </c>
      <c r="J113" s="113"/>
    </row>
    <row r="114" customFormat="false" ht="45" hidden="false" customHeight="true" outlineLevel="0" collapsed="false">
      <c r="A114" s="109" t="s">
        <v>117</v>
      </c>
      <c r="B114" s="109"/>
      <c r="C114" s="109"/>
      <c r="D114" s="109"/>
      <c r="E114" s="109"/>
      <c r="F114" s="109"/>
      <c r="G114" s="109"/>
      <c r="H114" s="114" t="n">
        <v>0</v>
      </c>
      <c r="I114" s="288" t="n">
        <f aca="false">I112+I113</f>
        <v>7602.566</v>
      </c>
      <c r="J114" s="113"/>
    </row>
    <row r="115" customFormat="false" ht="15.75" hidden="false" customHeight="false" outlineLevel="0" collapsed="false">
      <c r="A115" s="17" t="s">
        <v>10</v>
      </c>
      <c r="B115" s="83" t="s">
        <v>118</v>
      </c>
      <c r="C115" s="83"/>
      <c r="D115" s="83"/>
      <c r="E115" s="83"/>
      <c r="F115" s="83"/>
      <c r="G115" s="83"/>
      <c r="H115" s="112" t="n">
        <f aca="false">'Dom Pedrito 4.2'!H112</f>
        <v>0.0818</v>
      </c>
      <c r="I115" s="273" t="n">
        <f aca="false">ROUND(I114*H115,2)</f>
        <v>621.89</v>
      </c>
      <c r="J115" s="116"/>
    </row>
    <row r="116" customFormat="false" ht="45.75" hidden="false" customHeight="true" outlineLevel="0" collapsed="false">
      <c r="A116" s="109" t="s">
        <v>119</v>
      </c>
      <c r="B116" s="109"/>
      <c r="C116" s="109"/>
      <c r="D116" s="109"/>
      <c r="E116" s="109"/>
      <c r="F116" s="109"/>
      <c r="G116" s="109"/>
      <c r="H116" s="117" t="n">
        <v>0</v>
      </c>
      <c r="I116" s="289" t="n">
        <f aca="false">I114+I115</f>
        <v>8224.456</v>
      </c>
      <c r="J116" s="116"/>
    </row>
    <row r="117" customFormat="false" ht="15.75" hidden="false" customHeight="false" outlineLevel="0" collapsed="false">
      <c r="A117" s="17" t="s">
        <v>12</v>
      </c>
      <c r="B117" s="83" t="s">
        <v>120</v>
      </c>
      <c r="C117" s="83"/>
      <c r="D117" s="83"/>
      <c r="E117" s="83"/>
      <c r="F117" s="83"/>
      <c r="G117" s="83"/>
      <c r="H117" s="119" t="s">
        <v>198</v>
      </c>
      <c r="I117" s="290" t="s">
        <v>198</v>
      </c>
      <c r="J117" s="116"/>
    </row>
    <row r="118" customFormat="false" ht="15.75" hidden="false" customHeight="false" outlineLevel="0" collapsed="false">
      <c r="A118" s="17"/>
      <c r="B118" s="83" t="s">
        <v>121</v>
      </c>
      <c r="C118" s="83"/>
      <c r="D118" s="83"/>
      <c r="E118" s="83"/>
      <c r="F118" s="83"/>
      <c r="G118" s="83"/>
      <c r="H118" s="119" t="s">
        <v>198</v>
      </c>
      <c r="I118" s="290" t="s">
        <v>198</v>
      </c>
    </row>
    <row r="119" customFormat="false" ht="29.25" hidden="false" customHeight="true" outlineLevel="0" collapsed="false">
      <c r="A119" s="17"/>
      <c r="B119" s="67" t="s">
        <v>199</v>
      </c>
      <c r="C119" s="67"/>
      <c r="D119" s="67"/>
      <c r="E119" s="67"/>
      <c r="F119" s="67"/>
      <c r="G119" s="67"/>
      <c r="H119" s="121" t="n">
        <v>0.03</v>
      </c>
      <c r="I119" s="273" t="n">
        <f aca="false">ROUND(($I$116/(1-H126))*H119,2)</f>
        <v>264.31</v>
      </c>
    </row>
    <row r="120" customFormat="false" ht="28.5" hidden="false" customHeight="true" outlineLevel="0" collapsed="false">
      <c r="A120" s="17"/>
      <c r="B120" s="67" t="s">
        <v>200</v>
      </c>
      <c r="C120" s="67"/>
      <c r="D120" s="67"/>
      <c r="E120" s="67"/>
      <c r="F120" s="67"/>
      <c r="G120" s="67"/>
      <c r="H120" s="121" t="n">
        <v>0.0065</v>
      </c>
      <c r="I120" s="273" t="n">
        <f aca="false">ROUND(($I$116/(1-H126))*H120,2)</f>
        <v>57.27</v>
      </c>
      <c r="K120" s="66"/>
    </row>
    <row r="121" customFormat="false" ht="30.75" hidden="false" customHeight="true" outlineLevel="0" collapsed="false">
      <c r="A121" s="17"/>
      <c r="B121" s="122" t="s">
        <v>124</v>
      </c>
      <c r="C121" s="122"/>
      <c r="D121" s="122"/>
      <c r="E121" s="122"/>
      <c r="F121" s="122"/>
      <c r="G121" s="122"/>
      <c r="H121" s="121" t="s">
        <v>198</v>
      </c>
      <c r="I121" s="290" t="s">
        <v>198</v>
      </c>
      <c r="K121" s="66"/>
    </row>
    <row r="122" customFormat="false" ht="15.75" hidden="false" customHeight="false" outlineLevel="0" collapsed="false">
      <c r="A122" s="17"/>
      <c r="B122" s="83" t="s">
        <v>125</v>
      </c>
      <c r="C122" s="83"/>
      <c r="D122" s="83"/>
      <c r="E122" s="83"/>
      <c r="F122" s="83"/>
      <c r="G122" s="83"/>
      <c r="H122" s="119" t="s">
        <v>198</v>
      </c>
      <c r="I122" s="290" t="s">
        <v>198</v>
      </c>
    </row>
    <row r="123" customFormat="false" ht="15.75" hidden="false" customHeight="false" outlineLevel="0" collapsed="false">
      <c r="A123" s="17"/>
      <c r="B123" s="83" t="s">
        <v>126</v>
      </c>
      <c r="C123" s="83"/>
      <c r="D123" s="83"/>
      <c r="E123" s="83"/>
      <c r="F123" s="83"/>
      <c r="G123" s="83"/>
      <c r="H123" s="119" t="s">
        <v>198</v>
      </c>
      <c r="I123" s="290" t="s">
        <v>198</v>
      </c>
      <c r="K123" s="66"/>
    </row>
    <row r="124" customFormat="false" ht="15.75" hidden="false" customHeight="false" outlineLevel="0" collapsed="false">
      <c r="A124" s="17"/>
      <c r="B124" s="52" t="s">
        <v>268</v>
      </c>
      <c r="C124" s="52"/>
      <c r="D124" s="52"/>
      <c r="E124" s="52"/>
      <c r="F124" s="52"/>
      <c r="G124" s="52"/>
      <c r="H124" s="124" t="n">
        <v>0.03</v>
      </c>
      <c r="I124" s="273" t="n">
        <f aca="false">ROUND(($I$116/(1-H126))*H124,2)</f>
        <v>264.31</v>
      </c>
    </row>
    <row r="125" customFormat="false" ht="15.75" hidden="false" customHeight="false" outlineLevel="0" collapsed="false">
      <c r="A125" s="125" t="s">
        <v>76</v>
      </c>
      <c r="B125" s="125"/>
      <c r="C125" s="125"/>
      <c r="D125" s="125"/>
      <c r="E125" s="125"/>
      <c r="F125" s="125"/>
      <c r="G125" s="125"/>
      <c r="H125" s="125"/>
      <c r="I125" s="291" t="n">
        <f aca="false">I113+I115+I119+I120+I124</f>
        <v>2026.58</v>
      </c>
    </row>
    <row r="126" customFormat="false" ht="15.75" hidden="false" customHeight="false" outlineLevel="0" collapsed="false">
      <c r="A126" s="127" t="s">
        <v>128</v>
      </c>
      <c r="B126" s="127"/>
      <c r="C126" s="127"/>
      <c r="D126" s="127"/>
      <c r="E126" s="127"/>
      <c r="F126" s="127"/>
      <c r="G126" s="127"/>
      <c r="H126" s="128" t="n">
        <f aca="false">SUM(H119:H124)</f>
        <v>0.0665</v>
      </c>
      <c r="I126" s="292" t="n">
        <f aca="false">SUM(I119+I120+I124)</f>
        <v>585.89</v>
      </c>
    </row>
    <row r="127" customFormat="false" ht="15.75" hidden="false" customHeight="false" outlineLevel="0" collapsed="false">
      <c r="A127" s="130" t="s">
        <v>129</v>
      </c>
      <c r="B127" s="130"/>
      <c r="C127" s="293" t="s">
        <v>130</v>
      </c>
      <c r="D127" s="293"/>
      <c r="E127" s="293"/>
      <c r="F127" s="293"/>
      <c r="G127" s="293"/>
      <c r="H127" s="293"/>
      <c r="I127" s="293"/>
    </row>
    <row r="128" customFormat="false" ht="15" hidden="false" customHeight="false" outlineLevel="0" collapsed="false">
      <c r="A128" s="130"/>
      <c r="B128" s="130"/>
      <c r="C128" s="294" t="s">
        <v>131</v>
      </c>
      <c r="D128" s="294"/>
      <c r="E128" s="294"/>
      <c r="F128" s="294"/>
      <c r="G128" s="294"/>
      <c r="H128" s="294"/>
      <c r="I128" s="294"/>
    </row>
    <row r="129" customFormat="false" ht="15.75" hidden="false" customHeight="false" outlineLevel="0" collapsed="false">
      <c r="A129" s="133" t="s">
        <v>132</v>
      </c>
      <c r="B129" s="133"/>
      <c r="C129" s="133"/>
      <c r="D129" s="133"/>
      <c r="E129" s="133"/>
      <c r="F129" s="133"/>
      <c r="G129" s="133"/>
      <c r="H129" s="133"/>
      <c r="I129" s="133"/>
    </row>
    <row r="130" customFormat="false" ht="15.75" hidden="false" customHeight="false" outlineLevel="0" collapsed="false">
      <c r="A130" s="94" t="s">
        <v>133</v>
      </c>
      <c r="B130" s="94"/>
      <c r="C130" s="94"/>
      <c r="D130" s="94"/>
      <c r="E130" s="94"/>
      <c r="F130" s="94"/>
      <c r="G130" s="94"/>
      <c r="H130" s="94"/>
      <c r="I130" s="94"/>
    </row>
    <row r="131" customFormat="false" ht="15.75" hidden="false" customHeight="false" outlineLevel="0" collapsed="false">
      <c r="A131" s="295"/>
      <c r="B131" s="295"/>
      <c r="C131" s="295"/>
      <c r="D131" s="295"/>
      <c r="E131" s="295"/>
      <c r="F131" s="295"/>
      <c r="G131" s="295"/>
      <c r="H131" s="295"/>
      <c r="I131" s="295"/>
    </row>
    <row r="132" customFormat="false" ht="15.75" hidden="false" customHeight="false" outlineLevel="0" collapsed="false">
      <c r="A132" s="33" t="s">
        <v>134</v>
      </c>
      <c r="B132" s="33"/>
      <c r="C132" s="33"/>
      <c r="D132" s="33"/>
      <c r="E132" s="33"/>
      <c r="F132" s="33"/>
      <c r="G132" s="33"/>
      <c r="H132" s="33"/>
      <c r="I132" s="33"/>
    </row>
    <row r="133" customFormat="false" ht="15.75" hidden="false" customHeight="false" outlineLevel="0" collapsed="false">
      <c r="A133" s="135" t="s">
        <v>135</v>
      </c>
      <c r="B133" s="135"/>
      <c r="C133" s="135"/>
      <c r="D133" s="135"/>
      <c r="E133" s="135"/>
      <c r="F133" s="135"/>
      <c r="G133" s="135"/>
      <c r="H133" s="135"/>
      <c r="I133" s="135"/>
    </row>
    <row r="134" customFormat="false" ht="15.75" hidden="false" customHeight="false" outlineLevel="0" collapsed="false">
      <c r="A134" s="136" t="s">
        <v>136</v>
      </c>
      <c r="B134" s="136"/>
      <c r="C134" s="136"/>
      <c r="D134" s="136"/>
      <c r="E134" s="136"/>
      <c r="F134" s="136"/>
      <c r="G134" s="136"/>
      <c r="H134" s="136"/>
      <c r="I134" s="296" t="s">
        <v>35</v>
      </c>
    </row>
    <row r="135" customFormat="false" ht="15.75" hidden="false" customHeight="false" outlineLevel="0" collapsed="false">
      <c r="A135" s="14" t="s">
        <v>8</v>
      </c>
      <c r="B135" s="15" t="s">
        <v>137</v>
      </c>
      <c r="C135" s="15"/>
      <c r="D135" s="15"/>
      <c r="E135" s="15"/>
      <c r="F135" s="15"/>
      <c r="G135" s="15"/>
      <c r="H135" s="15"/>
      <c r="I135" s="297" t="n">
        <f aca="false">I43</f>
        <v>3269.816</v>
      </c>
    </row>
    <row r="136" customFormat="false" ht="15.75" hidden="false" customHeight="false" outlineLevel="0" collapsed="false">
      <c r="A136" s="14" t="s">
        <v>10</v>
      </c>
      <c r="B136" s="15" t="s">
        <v>138</v>
      </c>
      <c r="C136" s="15"/>
      <c r="D136" s="15"/>
      <c r="E136" s="15"/>
      <c r="F136" s="15"/>
      <c r="G136" s="15"/>
      <c r="H136" s="15"/>
      <c r="I136" s="297" t="n">
        <f aca="false">I52</f>
        <v>898.71</v>
      </c>
    </row>
    <row r="137" customFormat="false" ht="15.75" hidden="false" customHeight="false" outlineLevel="0" collapsed="false">
      <c r="A137" s="14" t="s">
        <v>12</v>
      </c>
      <c r="B137" s="15" t="s">
        <v>139</v>
      </c>
      <c r="C137" s="15"/>
      <c r="D137" s="15"/>
      <c r="E137" s="15"/>
      <c r="F137" s="15"/>
      <c r="G137" s="15"/>
      <c r="H137" s="15"/>
      <c r="I137" s="298" t="n">
        <f aca="false">I57</f>
        <v>275.35</v>
      </c>
    </row>
    <row r="138" customFormat="false" ht="15.75" hidden="false" customHeight="false" outlineLevel="0" collapsed="false">
      <c r="A138" s="14" t="s">
        <v>14</v>
      </c>
      <c r="B138" s="15" t="s">
        <v>109</v>
      </c>
      <c r="C138" s="15"/>
      <c r="D138" s="15"/>
      <c r="E138" s="15"/>
      <c r="F138" s="15"/>
      <c r="G138" s="15"/>
      <c r="H138" s="15"/>
      <c r="I138" s="297" t="n">
        <f aca="false">I109</f>
        <v>2339.89</v>
      </c>
    </row>
    <row r="139" customFormat="false" ht="15.75" hidden="false" customHeight="false" outlineLevel="0" collapsed="false">
      <c r="A139" s="140" t="s">
        <v>140</v>
      </c>
      <c r="B139" s="140"/>
      <c r="C139" s="140"/>
      <c r="D139" s="140"/>
      <c r="E139" s="140"/>
      <c r="F139" s="140"/>
      <c r="G139" s="140"/>
      <c r="H139" s="140"/>
      <c r="I139" s="299" t="n">
        <f aca="false">SUM(I135:I138)</f>
        <v>6783.766</v>
      </c>
    </row>
    <row r="140" customFormat="false" ht="15.75" hidden="false" customHeight="false" outlineLevel="0" collapsed="false">
      <c r="A140" s="14" t="s">
        <v>40</v>
      </c>
      <c r="B140" s="15" t="s">
        <v>141</v>
      </c>
      <c r="C140" s="15"/>
      <c r="D140" s="15"/>
      <c r="E140" s="15"/>
      <c r="F140" s="15"/>
      <c r="G140" s="15"/>
      <c r="H140" s="15"/>
      <c r="I140" s="297" t="n">
        <f aca="false">I125</f>
        <v>2026.58</v>
      </c>
    </row>
    <row r="141" customFormat="false" ht="15.75" hidden="false" customHeight="false" outlineLevel="0" collapsed="false">
      <c r="A141" s="143" t="s">
        <v>142</v>
      </c>
      <c r="B141" s="143"/>
      <c r="C141" s="143"/>
      <c r="D141" s="143"/>
      <c r="E141" s="143"/>
      <c r="F141" s="143"/>
      <c r="G141" s="143"/>
      <c r="H141" s="143"/>
      <c r="I141" s="300" t="n">
        <f aca="false">SUM(I139+I140)</f>
        <v>8810.346</v>
      </c>
    </row>
    <row r="142" customFormat="false" ht="15.75" hidden="false" customHeight="false" outlineLevel="0" collapsed="false">
      <c r="A142" s="301"/>
      <c r="B142" s="301"/>
      <c r="C142" s="301"/>
      <c r="D142" s="301"/>
      <c r="E142" s="301"/>
      <c r="F142" s="301"/>
      <c r="G142" s="301"/>
      <c r="H142" s="301"/>
      <c r="I142" s="301"/>
    </row>
    <row r="143" customFormat="false" ht="15.75" hidden="false" customHeight="false" outlineLevel="0" collapsed="false">
      <c r="A143" s="33" t="s">
        <v>143</v>
      </c>
      <c r="B143" s="33"/>
      <c r="C143" s="33"/>
      <c r="D143" s="33"/>
      <c r="E143" s="33"/>
      <c r="F143" s="33"/>
      <c r="G143" s="33"/>
      <c r="H143" s="33"/>
      <c r="I143" s="33"/>
    </row>
    <row r="144" customFormat="false" ht="15.75" hidden="false" customHeight="false" outlineLevel="0" collapsed="false">
      <c r="A144" s="146" t="s">
        <v>144</v>
      </c>
      <c r="B144" s="146"/>
      <c r="C144" s="146"/>
      <c r="D144" s="146"/>
      <c r="E144" s="146"/>
      <c r="F144" s="146"/>
      <c r="G144" s="146"/>
      <c r="H144" s="146"/>
      <c r="I144" s="146"/>
    </row>
    <row r="145" customFormat="false" ht="63" hidden="false" customHeight="true" outlineLevel="0" collapsed="false">
      <c r="A145" s="64" t="s">
        <v>145</v>
      </c>
      <c r="B145" s="64"/>
      <c r="C145" s="245" t="s">
        <v>146</v>
      </c>
      <c r="D145" s="245"/>
      <c r="E145" s="246" t="s">
        <v>147</v>
      </c>
      <c r="F145" s="245" t="s">
        <v>148</v>
      </c>
      <c r="G145" s="245"/>
      <c r="H145" s="245" t="s">
        <v>149</v>
      </c>
      <c r="I145" s="302" t="s">
        <v>150</v>
      </c>
    </row>
    <row r="146" customFormat="false" ht="16.5" hidden="false" customHeight="true" outlineLevel="0" collapsed="false">
      <c r="A146" s="248" t="s">
        <v>26</v>
      </c>
      <c r="B146" s="248"/>
      <c r="C146" s="249" t="n">
        <f aca="false">I141</f>
        <v>8810.346</v>
      </c>
      <c r="D146" s="249"/>
      <c r="E146" s="250" t="s">
        <v>256</v>
      </c>
      <c r="F146" s="251" t="n">
        <f aca="false">C146</f>
        <v>8810.346</v>
      </c>
      <c r="G146" s="251"/>
      <c r="H146" s="252" t="n">
        <v>1</v>
      </c>
      <c r="I146" s="303" t="n">
        <f aca="false">F146*H146</f>
        <v>8810.346</v>
      </c>
    </row>
    <row r="147" customFormat="false" ht="15.75" hidden="false" customHeight="false" outlineLevel="0" collapsed="false">
      <c r="A147" s="301"/>
      <c r="B147" s="301"/>
      <c r="C147" s="301"/>
      <c r="D147" s="301"/>
      <c r="E147" s="301"/>
      <c r="F147" s="301"/>
      <c r="G147" s="301"/>
      <c r="H147" s="301"/>
      <c r="I147" s="301"/>
    </row>
    <row r="148" customFormat="false" ht="15.75" hidden="false" customHeight="false" outlineLevel="0" collapsed="false">
      <c r="A148" s="33" t="s">
        <v>151</v>
      </c>
      <c r="B148" s="33"/>
      <c r="C148" s="33"/>
      <c r="D148" s="33"/>
      <c r="E148" s="33"/>
      <c r="F148" s="33"/>
      <c r="G148" s="33"/>
      <c r="H148" s="33"/>
      <c r="I148" s="33"/>
    </row>
    <row r="149" customFormat="false" ht="15.75" hidden="false" customHeight="false" outlineLevel="0" collapsed="false">
      <c r="A149" s="146" t="s">
        <v>152</v>
      </c>
      <c r="B149" s="146"/>
      <c r="C149" s="146"/>
      <c r="D149" s="146"/>
      <c r="E149" s="146"/>
      <c r="F149" s="146"/>
      <c r="G149" s="146"/>
      <c r="H149" s="146"/>
      <c r="I149" s="146"/>
    </row>
    <row r="150" customFormat="false" ht="15.75" hidden="false" customHeight="false" outlineLevel="0" collapsed="false">
      <c r="A150" s="157" t="s">
        <v>153</v>
      </c>
      <c r="B150" s="157"/>
      <c r="C150" s="157"/>
      <c r="D150" s="157"/>
      <c r="E150" s="157"/>
      <c r="F150" s="157"/>
      <c r="G150" s="157"/>
      <c r="H150" s="157"/>
      <c r="I150" s="157"/>
    </row>
    <row r="151" customFormat="false" ht="15.75" hidden="false" customHeight="false" outlineLevel="0" collapsed="false">
      <c r="A151" s="158" t="s">
        <v>8</v>
      </c>
      <c r="B151" s="15" t="s">
        <v>154</v>
      </c>
      <c r="C151" s="15"/>
      <c r="D151" s="15"/>
      <c r="E151" s="15"/>
      <c r="F151" s="15"/>
      <c r="G151" s="15"/>
      <c r="H151" s="15"/>
      <c r="I151" s="304" t="n">
        <f aca="false">F146</f>
        <v>8810.346</v>
      </c>
    </row>
    <row r="152" customFormat="false" ht="15.75" hidden="false" customHeight="false" outlineLevel="0" collapsed="false">
      <c r="A152" s="158" t="s">
        <v>10</v>
      </c>
      <c r="B152" s="15" t="s">
        <v>155</v>
      </c>
      <c r="C152" s="15"/>
      <c r="D152" s="15"/>
      <c r="E152" s="15"/>
      <c r="F152" s="15"/>
      <c r="G152" s="15"/>
      <c r="H152" s="15"/>
      <c r="I152" s="305" t="n">
        <f aca="false">I146</f>
        <v>8810.346</v>
      </c>
    </row>
    <row r="153" customFormat="false" ht="16.5" hidden="false" customHeight="true" outlineLevel="0" collapsed="false">
      <c r="A153" s="161" t="s">
        <v>12</v>
      </c>
      <c r="B153" s="162" t="s">
        <v>156</v>
      </c>
      <c r="C153" s="162"/>
      <c r="D153" s="162"/>
      <c r="E153" s="162"/>
      <c r="F153" s="162"/>
      <c r="G153" s="162"/>
      <c r="H153" s="162"/>
      <c r="I153" s="306" t="n">
        <f aca="false">I152*12</f>
        <v>105724.152</v>
      </c>
    </row>
  </sheetData>
  <mergeCells count="158">
    <mergeCell ref="A8:I8"/>
    <mergeCell ref="A9:I9"/>
    <mergeCell ref="A10:I10"/>
    <mergeCell ref="A11:I11"/>
    <mergeCell ref="A12:I12"/>
    <mergeCell ref="A13:I13"/>
    <mergeCell ref="A14:I14"/>
    <mergeCell ref="B15:H15"/>
    <mergeCell ref="B16:H16"/>
    <mergeCell ref="B17:H17"/>
    <mergeCell ref="B18:H18"/>
    <mergeCell ref="A19:I19"/>
    <mergeCell ref="A20:D20"/>
    <mergeCell ref="E20:F20"/>
    <mergeCell ref="G20:I20"/>
    <mergeCell ref="A21:D21"/>
    <mergeCell ref="E21:F22"/>
    <mergeCell ref="G21:I22"/>
    <mergeCell ref="A22:D22"/>
    <mergeCell ref="B23:I23"/>
    <mergeCell ref="A24:I24"/>
    <mergeCell ref="A25:I25"/>
    <mergeCell ref="A26:I26"/>
    <mergeCell ref="B27:H27"/>
    <mergeCell ref="B28:H28"/>
    <mergeCell ref="B29:H29"/>
    <mergeCell ref="B30:H30"/>
    <mergeCell ref="B31:H31"/>
    <mergeCell ref="B32:H32"/>
    <mergeCell ref="B33:H33"/>
    <mergeCell ref="A34:I34"/>
    <mergeCell ref="A35:I35"/>
    <mergeCell ref="B36:H36"/>
    <mergeCell ref="B37:H37"/>
    <mergeCell ref="B38:H38"/>
    <mergeCell ref="B39:H39"/>
    <mergeCell ref="B40:H40"/>
    <mergeCell ref="B41:H41"/>
    <mergeCell ref="B42:H42"/>
    <mergeCell ref="A43:H43"/>
    <mergeCell ref="A44:I44"/>
    <mergeCell ref="B45:H45"/>
    <mergeCell ref="A46:A48"/>
    <mergeCell ref="B46:H46"/>
    <mergeCell ref="B47:G47"/>
    <mergeCell ref="B48:G48"/>
    <mergeCell ref="A49:A50"/>
    <mergeCell ref="B49:H49"/>
    <mergeCell ref="B50:G50"/>
    <mergeCell ref="B51:H51"/>
    <mergeCell ref="A52:H52"/>
    <mergeCell ref="A53:I53"/>
    <mergeCell ref="A54:I54"/>
    <mergeCell ref="B55:H55"/>
    <mergeCell ref="B56:H56"/>
    <mergeCell ref="A57:H57"/>
    <mergeCell ref="A58:I58"/>
    <mergeCell ref="A59:I59"/>
    <mergeCell ref="B60:G60"/>
    <mergeCell ref="B61:G61"/>
    <mergeCell ref="B62:G62"/>
    <mergeCell ref="B63:G63"/>
    <mergeCell ref="B64:G64"/>
    <mergeCell ref="B65:G65"/>
    <mergeCell ref="B66:G66"/>
    <mergeCell ref="B67:E67"/>
    <mergeCell ref="B68:G68"/>
    <mergeCell ref="A69:G69"/>
    <mergeCell ref="A70:I70"/>
    <mergeCell ref="A71:I71"/>
    <mergeCell ref="A72:I72"/>
    <mergeCell ref="B73:H73"/>
    <mergeCell ref="B74:H74"/>
    <mergeCell ref="A75:H75"/>
    <mergeCell ref="B76:H76"/>
    <mergeCell ref="A77:H77"/>
    <mergeCell ref="A78:I78"/>
    <mergeCell ref="B79:H79"/>
    <mergeCell ref="B80:H80"/>
    <mergeCell ref="B81:H81"/>
    <mergeCell ref="A82:H82"/>
    <mergeCell ref="A83:I83"/>
    <mergeCell ref="B84:H84"/>
    <mergeCell ref="B85:H85"/>
    <mergeCell ref="B86:H86"/>
    <mergeCell ref="B87:H87"/>
    <mergeCell ref="B88:H88"/>
    <mergeCell ref="B89:H89"/>
    <mergeCell ref="B90:H90"/>
    <mergeCell ref="A91:H91"/>
    <mergeCell ref="A92:I92"/>
    <mergeCell ref="B93:H93"/>
    <mergeCell ref="B94:H94"/>
    <mergeCell ref="B95:H95"/>
    <mergeCell ref="B96:H96"/>
    <mergeCell ref="B97:H97"/>
    <mergeCell ref="B98:H98"/>
    <mergeCell ref="A99:H99"/>
    <mergeCell ref="B100:H100"/>
    <mergeCell ref="A101:H101"/>
    <mergeCell ref="A102:I102"/>
    <mergeCell ref="B103:H103"/>
    <mergeCell ref="B104:H104"/>
    <mergeCell ref="B105:H105"/>
    <mergeCell ref="B106:H106"/>
    <mergeCell ref="B107:H107"/>
    <mergeCell ref="B108:H108"/>
    <mergeCell ref="A109:H109"/>
    <mergeCell ref="A110:I110"/>
    <mergeCell ref="B111:G111"/>
    <mergeCell ref="A112:G112"/>
    <mergeCell ref="B113:G113"/>
    <mergeCell ref="A114:G114"/>
    <mergeCell ref="B115:G115"/>
    <mergeCell ref="A116:G116"/>
    <mergeCell ref="A117:A124"/>
    <mergeCell ref="B117:G117"/>
    <mergeCell ref="B118:G118"/>
    <mergeCell ref="B119:G119"/>
    <mergeCell ref="B120:G120"/>
    <mergeCell ref="B121:G121"/>
    <mergeCell ref="B122:G122"/>
    <mergeCell ref="B123:G123"/>
    <mergeCell ref="B124:G124"/>
    <mergeCell ref="A125:H125"/>
    <mergeCell ref="A126:G126"/>
    <mergeCell ref="A127:B128"/>
    <mergeCell ref="C127:I127"/>
    <mergeCell ref="C128:I128"/>
    <mergeCell ref="A129:I129"/>
    <mergeCell ref="A130:I130"/>
    <mergeCell ref="A131:I131"/>
    <mergeCell ref="A132:I132"/>
    <mergeCell ref="A133:I133"/>
    <mergeCell ref="A134:H134"/>
    <mergeCell ref="B135:H135"/>
    <mergeCell ref="B136:H136"/>
    <mergeCell ref="B137:H137"/>
    <mergeCell ref="B138:H138"/>
    <mergeCell ref="A139:H139"/>
    <mergeCell ref="B140:H140"/>
    <mergeCell ref="A141:H141"/>
    <mergeCell ref="A142:I142"/>
    <mergeCell ref="A143:I143"/>
    <mergeCell ref="A144:I144"/>
    <mergeCell ref="A145:B145"/>
    <mergeCell ref="C145:D145"/>
    <mergeCell ref="F145:G145"/>
    <mergeCell ref="A146:B146"/>
    <mergeCell ref="C146:D146"/>
    <mergeCell ref="F146:G146"/>
    <mergeCell ref="A147:I147"/>
    <mergeCell ref="A148:I148"/>
    <mergeCell ref="A149:I149"/>
    <mergeCell ref="A150:I150"/>
    <mergeCell ref="B151:H151"/>
    <mergeCell ref="B152:H152"/>
    <mergeCell ref="B153:H153"/>
  </mergeCells>
  <printOptions headings="false" gridLines="false" gridLinesSet="true" horizontalCentered="false" verticalCentered="false"/>
  <pageMargins left="0.698611111111111" right="0.698611111111111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7" man="true" max="16383" min="0"/>
    <brk id="109" man="true" max="16383" min="0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N152"/>
  <sheetViews>
    <sheetView showFormulas="false" showGridLines="true" showRowColHeaders="true" showZeros="true" rightToLeft="false" tabSelected="false" showOutlineSymbols="true" defaultGridColor="true" view="pageBreakPreview" topLeftCell="A133" colorId="64" zoomScale="76" zoomScaleNormal="100" zoomScalePageLayoutView="76" workbookViewId="0">
      <selection pane="topLeft" activeCell="I33" activeCellId="0" sqref="I33"/>
    </sheetView>
  </sheetViews>
  <sheetFormatPr defaultRowHeight="15" zeroHeight="false" outlineLevelRow="0" outlineLevelCol="0"/>
  <cols>
    <col collapsed="false" customWidth="true" hidden="false" outlineLevel="0" max="1" min="1" style="1" width="19.99"/>
    <col collapsed="false" customWidth="true" hidden="false" outlineLevel="0" max="2" min="2" style="1" width="23.28"/>
    <col collapsed="false" customWidth="true" hidden="false" outlineLevel="0" max="3" min="3" style="1" width="14.57"/>
    <col collapsed="false" customWidth="true" hidden="false" outlineLevel="0" max="4" min="4" style="1" width="19.57"/>
    <col collapsed="false" customWidth="true" hidden="false" outlineLevel="0" max="5" min="5" style="1" width="22.57"/>
    <col collapsed="false" customWidth="true" hidden="false" outlineLevel="0" max="6" min="6" style="1" width="21.57"/>
    <col collapsed="false" customWidth="true" hidden="false" outlineLevel="0" max="7" min="7" style="1" width="21.86"/>
    <col collapsed="false" customWidth="true" hidden="false" outlineLevel="0" max="8" min="8" style="1" width="22.28"/>
    <col collapsed="false" customWidth="true" hidden="false" outlineLevel="0" max="9" min="9" style="1" width="38.29"/>
    <col collapsed="false" customWidth="true" hidden="true" outlineLevel="0" max="11" min="10" style="1" width="9"/>
    <col collapsed="false" customWidth="true" hidden="false" outlineLevel="0" max="12" min="12" style="1" width="58.57"/>
    <col collapsed="false" customWidth="true" hidden="false" outlineLevel="0" max="1025" min="13" style="1" width="28.57"/>
  </cols>
  <sheetData>
    <row r="1" s="101" customFormat="true" ht="15.75" hidden="false" customHeight="false" outlineLevel="0" collapsed="false">
      <c r="A1" s="173" t="s">
        <v>178</v>
      </c>
      <c r="I1" s="261"/>
    </row>
    <row r="2" s="101" customFormat="true" ht="15.75" hidden="false" customHeight="false" outlineLevel="0" collapsed="false">
      <c r="A2" s="173" t="s">
        <v>179</v>
      </c>
      <c r="I2" s="261"/>
    </row>
    <row r="3" s="101" customFormat="true" ht="15.75" hidden="false" customHeight="false" outlineLevel="0" collapsed="false">
      <c r="A3" s="173" t="s">
        <v>180</v>
      </c>
      <c r="I3" s="261"/>
    </row>
    <row r="4" s="101" customFormat="true" ht="15.75" hidden="false" customHeight="false" outlineLevel="0" collapsed="false">
      <c r="A4" s="173" t="s">
        <v>181</v>
      </c>
      <c r="I4" s="261"/>
    </row>
    <row r="5" s="101" customFormat="true" ht="15.75" hidden="false" customHeight="false" outlineLevel="0" collapsed="false">
      <c r="A5" s="173" t="s">
        <v>182</v>
      </c>
      <c r="I5" s="261"/>
    </row>
    <row r="6" s="101" customFormat="true" ht="15.75" hidden="false" customHeight="false" outlineLevel="0" collapsed="false">
      <c r="A6" s="173" t="s">
        <v>183</v>
      </c>
      <c r="I6" s="261"/>
    </row>
    <row r="7" customFormat="false" ht="15.75" hidden="false" customHeight="false" outlineLevel="0" collapsed="false">
      <c r="A7" s="174" t="s">
        <v>184</v>
      </c>
      <c r="I7" s="262"/>
    </row>
    <row r="8" customFormat="false" ht="15.75" hidden="false" customHeight="false" outlineLevel="0" collapsed="false">
      <c r="A8" s="263" t="s">
        <v>1</v>
      </c>
      <c r="B8" s="263"/>
      <c r="C8" s="263"/>
      <c r="D8" s="263"/>
      <c r="E8" s="263"/>
      <c r="F8" s="263"/>
      <c r="G8" s="263"/>
      <c r="H8" s="263"/>
      <c r="I8" s="263"/>
    </row>
    <row r="9" customFormat="false" ht="15.75" hidden="false" customHeight="false" outlineLevel="0" collapsed="false">
      <c r="A9" s="4" t="s">
        <v>2</v>
      </c>
      <c r="B9" s="4"/>
      <c r="C9" s="4"/>
      <c r="D9" s="4"/>
      <c r="E9" s="4"/>
      <c r="F9" s="4"/>
      <c r="G9" s="4"/>
      <c r="H9" s="4"/>
      <c r="I9" s="4"/>
    </row>
    <row r="10" customFormat="false" ht="15.75" hidden="false" customHeight="false" outlineLevel="0" collapsed="false">
      <c r="A10" s="5" t="s">
        <v>3</v>
      </c>
      <c r="B10" s="5"/>
      <c r="C10" s="5"/>
      <c r="D10" s="5"/>
      <c r="E10" s="5"/>
      <c r="F10" s="5"/>
      <c r="G10" s="5"/>
      <c r="H10" s="5"/>
      <c r="I10" s="5"/>
    </row>
    <row r="11" customFormat="false" ht="15.75" hidden="false" customHeight="false" outlineLevel="0" collapsed="false">
      <c r="A11" s="6" t="s">
        <v>4</v>
      </c>
      <c r="B11" s="6"/>
      <c r="C11" s="6"/>
      <c r="D11" s="6"/>
      <c r="E11" s="6"/>
      <c r="F11" s="6"/>
      <c r="G11" s="6"/>
      <c r="H11" s="6"/>
      <c r="I11" s="6"/>
    </row>
    <row r="12" customFormat="false" ht="15.75" hidden="false" customHeight="false" outlineLevel="0" collapsed="false">
      <c r="A12" s="7" t="s">
        <v>5</v>
      </c>
      <c r="B12" s="7"/>
      <c r="C12" s="7"/>
      <c r="D12" s="7"/>
      <c r="E12" s="7"/>
      <c r="F12" s="7"/>
      <c r="G12" s="7"/>
      <c r="H12" s="7"/>
      <c r="I12" s="7"/>
    </row>
    <row r="13" customFormat="false" ht="15.75" hidden="false" customHeight="false" outlineLevel="0" collapsed="false">
      <c r="A13" s="8" t="s">
        <v>6</v>
      </c>
      <c r="B13" s="8"/>
      <c r="C13" s="8"/>
      <c r="D13" s="8"/>
      <c r="E13" s="8"/>
      <c r="F13" s="8"/>
      <c r="G13" s="8"/>
      <c r="H13" s="8"/>
      <c r="I13" s="8"/>
    </row>
    <row r="14" customFormat="false" ht="15.75" hidden="false" customHeight="false" outlineLevel="0" collapsed="false">
      <c r="A14" s="179" t="s">
        <v>7</v>
      </c>
      <c r="B14" s="179"/>
      <c r="C14" s="179"/>
      <c r="D14" s="179"/>
      <c r="E14" s="179"/>
      <c r="F14" s="179"/>
      <c r="G14" s="179"/>
      <c r="H14" s="179"/>
      <c r="I14" s="179"/>
    </row>
    <row r="15" customFormat="false" ht="15.75" hidden="false" customHeight="false" outlineLevel="0" collapsed="false">
      <c r="A15" s="10" t="s">
        <v>8</v>
      </c>
      <c r="B15" s="11" t="s">
        <v>9</v>
      </c>
      <c r="C15" s="11"/>
      <c r="D15" s="11"/>
      <c r="E15" s="11"/>
      <c r="F15" s="11"/>
      <c r="G15" s="11"/>
      <c r="H15" s="11"/>
      <c r="I15" s="264"/>
      <c r="L15" s="13"/>
    </row>
    <row r="16" customFormat="false" ht="15.75" hidden="false" customHeight="false" outlineLevel="0" collapsed="false">
      <c r="A16" s="14" t="s">
        <v>10</v>
      </c>
      <c r="B16" s="15" t="s">
        <v>11</v>
      </c>
      <c r="C16" s="15"/>
      <c r="D16" s="15"/>
      <c r="E16" s="15"/>
      <c r="F16" s="15"/>
      <c r="G16" s="15"/>
      <c r="H16" s="15"/>
      <c r="I16" s="265" t="s">
        <v>269</v>
      </c>
      <c r="L16" s="13"/>
    </row>
    <row r="17" customFormat="false" ht="47.25" hidden="false" customHeight="true" outlineLevel="0" collapsed="false">
      <c r="A17" s="17" t="s">
        <v>12</v>
      </c>
      <c r="B17" s="18" t="s">
        <v>13</v>
      </c>
      <c r="C17" s="18"/>
      <c r="D17" s="18"/>
      <c r="E17" s="18"/>
      <c r="F17" s="18"/>
      <c r="G17" s="18"/>
      <c r="H17" s="18"/>
      <c r="I17" s="266" t="s">
        <v>186</v>
      </c>
      <c r="L17" s="13"/>
    </row>
    <row r="18" customFormat="false" ht="15.75" hidden="false" customHeight="false" outlineLevel="0" collapsed="false">
      <c r="A18" s="20" t="s">
        <v>14</v>
      </c>
      <c r="B18" s="21" t="s">
        <v>15</v>
      </c>
      <c r="C18" s="21"/>
      <c r="D18" s="21"/>
      <c r="E18" s="21"/>
      <c r="F18" s="21"/>
      <c r="G18" s="21"/>
      <c r="H18" s="21"/>
      <c r="I18" s="267" t="n">
        <v>12</v>
      </c>
    </row>
    <row r="19" customFormat="false" ht="15.75" hidden="false" customHeight="false" outlineLevel="0" collapsed="false">
      <c r="A19" s="179" t="s">
        <v>16</v>
      </c>
      <c r="B19" s="179"/>
      <c r="C19" s="179"/>
      <c r="D19" s="179"/>
      <c r="E19" s="179"/>
      <c r="F19" s="179"/>
      <c r="G19" s="179"/>
      <c r="H19" s="179"/>
      <c r="I19" s="179"/>
    </row>
    <row r="20" customFormat="false" ht="15.75" hidden="false" customHeight="false" outlineLevel="0" collapsed="false">
      <c r="A20" s="23" t="s">
        <v>17</v>
      </c>
      <c r="B20" s="23"/>
      <c r="C20" s="23"/>
      <c r="D20" s="23"/>
      <c r="E20" s="24" t="s">
        <v>18</v>
      </c>
      <c r="F20" s="24"/>
      <c r="G20" s="25" t="s">
        <v>19</v>
      </c>
      <c r="H20" s="25"/>
      <c r="I20" s="25"/>
    </row>
    <row r="21" customFormat="false" ht="15.75" hidden="false" customHeight="true" outlineLevel="0" collapsed="false">
      <c r="A21" s="26" t="s">
        <v>20</v>
      </c>
      <c r="B21" s="26"/>
      <c r="C21" s="26"/>
      <c r="D21" s="26"/>
      <c r="E21" s="27" t="s">
        <v>21</v>
      </c>
      <c r="F21" s="27"/>
      <c r="G21" s="28" t="n">
        <v>1</v>
      </c>
      <c r="H21" s="28"/>
      <c r="I21" s="28"/>
    </row>
    <row r="22" customFormat="false" ht="16.5" hidden="false" customHeight="true" outlineLevel="0" collapsed="false">
      <c r="A22" s="327" t="s">
        <v>224</v>
      </c>
      <c r="B22" s="327"/>
      <c r="C22" s="327"/>
      <c r="D22" s="327"/>
      <c r="E22" s="27"/>
      <c r="F22" s="27"/>
      <c r="G22" s="28"/>
      <c r="H22" s="28"/>
      <c r="I22" s="28"/>
      <c r="L22" s="30"/>
    </row>
    <row r="23" customFormat="false" ht="15.75" hidden="false" customHeight="false" outlineLevel="0" collapsed="false">
      <c r="A23" s="31"/>
      <c r="B23" s="269"/>
      <c r="C23" s="269"/>
      <c r="D23" s="269"/>
      <c r="E23" s="269"/>
      <c r="F23" s="269"/>
      <c r="G23" s="269"/>
      <c r="H23" s="269"/>
      <c r="I23" s="269"/>
    </row>
    <row r="24" customFormat="false" ht="15.75" hidden="false" customHeight="false" outlineLevel="0" collapsed="false">
      <c r="A24" s="33" t="s">
        <v>22</v>
      </c>
      <c r="B24" s="33"/>
      <c r="C24" s="33"/>
      <c r="D24" s="33"/>
      <c r="E24" s="33"/>
      <c r="F24" s="33"/>
      <c r="G24" s="33"/>
      <c r="H24" s="33"/>
      <c r="I24" s="33"/>
    </row>
    <row r="25" customFormat="false" ht="15.75" hidden="false" customHeight="false" outlineLevel="0" collapsed="false">
      <c r="A25" s="34" t="s">
        <v>23</v>
      </c>
      <c r="B25" s="34"/>
      <c r="C25" s="34"/>
      <c r="D25" s="34"/>
      <c r="E25" s="34"/>
      <c r="F25" s="34"/>
      <c r="G25" s="34"/>
      <c r="H25" s="34"/>
      <c r="I25" s="34"/>
    </row>
    <row r="26" customFormat="false" ht="15.75" hidden="false" customHeight="false" outlineLevel="0" collapsed="false">
      <c r="A26" s="35" t="s">
        <v>24</v>
      </c>
      <c r="B26" s="35"/>
      <c r="C26" s="35"/>
      <c r="D26" s="35"/>
      <c r="E26" s="35"/>
      <c r="F26" s="35"/>
      <c r="G26" s="35"/>
      <c r="H26" s="35"/>
      <c r="I26" s="35"/>
    </row>
    <row r="27" customFormat="false" ht="15.75" hidden="false" customHeight="true" outlineLevel="0" collapsed="false">
      <c r="A27" s="14" t="n">
        <v>1</v>
      </c>
      <c r="B27" s="36" t="s">
        <v>25</v>
      </c>
      <c r="C27" s="36"/>
      <c r="D27" s="36"/>
      <c r="E27" s="36"/>
      <c r="F27" s="36"/>
      <c r="G27" s="36"/>
      <c r="H27" s="36"/>
      <c r="I27" s="266" t="s">
        <v>26</v>
      </c>
    </row>
    <row r="28" customFormat="false" ht="15.75" hidden="false" customHeight="true" outlineLevel="0" collapsed="false">
      <c r="A28" s="14" t="n">
        <v>2</v>
      </c>
      <c r="B28" s="38" t="s">
        <v>27</v>
      </c>
      <c r="C28" s="38"/>
      <c r="D28" s="38"/>
      <c r="E28" s="38"/>
      <c r="F28" s="38"/>
      <c r="G28" s="38"/>
      <c r="H28" s="38"/>
      <c r="I28" s="265" t="n">
        <f aca="false">Dados!B2</f>
        <v>1305.17</v>
      </c>
    </row>
    <row r="29" customFormat="false" ht="15.75" hidden="false" customHeight="true" outlineLevel="0" collapsed="false">
      <c r="A29" s="14" t="n">
        <v>3</v>
      </c>
      <c r="B29" s="38" t="s">
        <v>28</v>
      </c>
      <c r="C29" s="38"/>
      <c r="D29" s="38"/>
      <c r="E29" s="38"/>
      <c r="F29" s="38"/>
      <c r="G29" s="38"/>
      <c r="H29" s="38"/>
      <c r="I29" s="265" t="s">
        <v>188</v>
      </c>
    </row>
    <row r="30" customFormat="false" ht="15.75" hidden="false" customHeight="true" outlineLevel="0" collapsed="false">
      <c r="A30" s="40" t="n">
        <v>4</v>
      </c>
      <c r="B30" s="41" t="s">
        <v>29</v>
      </c>
      <c r="C30" s="41"/>
      <c r="D30" s="41"/>
      <c r="E30" s="41"/>
      <c r="F30" s="41"/>
      <c r="G30" s="41"/>
      <c r="H30" s="41"/>
      <c r="I30" s="270" t="n">
        <v>42005</v>
      </c>
    </row>
    <row r="31" customFormat="false" ht="15.75" hidden="false" customHeight="true" outlineLevel="0" collapsed="false">
      <c r="A31" s="40" t="n">
        <v>5</v>
      </c>
      <c r="B31" s="38" t="s">
        <v>30</v>
      </c>
      <c r="C31" s="38"/>
      <c r="D31" s="38"/>
      <c r="E31" s="38"/>
      <c r="F31" s="38"/>
      <c r="G31" s="38"/>
      <c r="H31" s="38"/>
      <c r="I31" s="270" t="n">
        <f aca="false">I28/220</f>
        <v>5.93259090909091</v>
      </c>
    </row>
    <row r="32" customFormat="false" ht="15.75" hidden="false" customHeight="true" outlineLevel="0" collapsed="false">
      <c r="A32" s="40" t="n">
        <v>6</v>
      </c>
      <c r="B32" s="38" t="s">
        <v>31</v>
      </c>
      <c r="C32" s="38"/>
      <c r="D32" s="38"/>
      <c r="E32" s="38"/>
      <c r="F32" s="38"/>
      <c r="G32" s="38"/>
      <c r="H32" s="38"/>
      <c r="I32" s="343" t="n">
        <f aca="false">I31*1.5</f>
        <v>8.89888636363636</v>
      </c>
    </row>
    <row r="33" customFormat="false" ht="16.5" hidden="false" customHeight="true" outlineLevel="0" collapsed="false">
      <c r="A33" s="20" t="n">
        <v>7</v>
      </c>
      <c r="B33" s="44" t="s">
        <v>32</v>
      </c>
      <c r="C33" s="44"/>
      <c r="D33" s="44"/>
      <c r="E33" s="44"/>
      <c r="F33" s="44"/>
      <c r="G33" s="44"/>
      <c r="H33" s="44"/>
      <c r="I33" s="335" t="n">
        <f aca="false">I31*0.2</f>
        <v>1.18651818181818</v>
      </c>
    </row>
    <row r="34" customFormat="false" ht="15.75" hidden="false" customHeight="false" outlineLevel="0" collapsed="false">
      <c r="A34" s="271"/>
      <c r="B34" s="271"/>
      <c r="C34" s="271"/>
      <c r="D34" s="271"/>
      <c r="E34" s="271"/>
      <c r="F34" s="271"/>
      <c r="G34" s="271"/>
      <c r="H34" s="271"/>
      <c r="I34" s="271"/>
    </row>
    <row r="35" customFormat="false" ht="15.75" hidden="false" customHeight="false" outlineLevel="0" collapsed="false">
      <c r="A35" s="47" t="s">
        <v>33</v>
      </c>
      <c r="B35" s="47"/>
      <c r="C35" s="47"/>
      <c r="D35" s="47"/>
      <c r="E35" s="47"/>
      <c r="F35" s="47"/>
      <c r="G35" s="47"/>
      <c r="H35" s="47"/>
      <c r="I35" s="47"/>
    </row>
    <row r="36" customFormat="false" ht="15.75" hidden="false" customHeight="false" outlineLevel="0" collapsed="false">
      <c r="A36" s="48" t="n">
        <v>1</v>
      </c>
      <c r="B36" s="49" t="s">
        <v>34</v>
      </c>
      <c r="C36" s="49"/>
      <c r="D36" s="49"/>
      <c r="E36" s="49"/>
      <c r="F36" s="49"/>
      <c r="G36" s="49"/>
      <c r="H36" s="49"/>
      <c r="I36" s="272" t="s">
        <v>35</v>
      </c>
      <c r="L36" s="51"/>
    </row>
    <row r="37" customFormat="false" ht="15.75" hidden="false" customHeight="false" outlineLevel="0" collapsed="false">
      <c r="A37" s="17" t="s">
        <v>8</v>
      </c>
      <c r="B37" s="52" t="s">
        <v>36</v>
      </c>
      <c r="C37" s="52"/>
      <c r="D37" s="52"/>
      <c r="E37" s="52"/>
      <c r="F37" s="52"/>
      <c r="G37" s="52"/>
      <c r="H37" s="52"/>
      <c r="I37" s="273" t="n">
        <f aca="false">ROUND((I31*200)*2,2)</f>
        <v>2373.04</v>
      </c>
      <c r="L37" s="51"/>
    </row>
    <row r="38" customFormat="false" ht="16.5" hidden="false" customHeight="true" outlineLevel="0" collapsed="false">
      <c r="A38" s="17" t="s">
        <v>10</v>
      </c>
      <c r="B38" s="54" t="s">
        <v>225</v>
      </c>
      <c r="C38" s="54"/>
      <c r="D38" s="54"/>
      <c r="E38" s="54"/>
      <c r="F38" s="54"/>
      <c r="G38" s="54"/>
      <c r="H38" s="54"/>
      <c r="I38" s="273" t="n">
        <f aca="false">ROUND(I32*21*2,2)</f>
        <v>373.75</v>
      </c>
      <c r="L38" s="55"/>
    </row>
    <row r="39" customFormat="false" ht="32.25" hidden="false" customHeight="true" outlineLevel="0" collapsed="false">
      <c r="A39" s="17" t="s">
        <v>12</v>
      </c>
      <c r="B39" s="54" t="s">
        <v>243</v>
      </c>
      <c r="C39" s="54"/>
      <c r="D39" s="54"/>
      <c r="E39" s="54"/>
      <c r="F39" s="54"/>
      <c r="G39" s="54"/>
      <c r="H39" s="54"/>
      <c r="I39" s="273" t="n">
        <f aca="false">ROUND(I33*1*(60/52.5)*21,2)</f>
        <v>28.48</v>
      </c>
      <c r="L39" s="55"/>
    </row>
    <row r="40" customFormat="false" ht="32.25" hidden="false" customHeight="true" outlineLevel="0" collapsed="false">
      <c r="A40" s="175" t="s">
        <v>14</v>
      </c>
      <c r="B40" s="54" t="s">
        <v>220</v>
      </c>
      <c r="C40" s="54"/>
      <c r="D40" s="54"/>
      <c r="E40" s="54"/>
      <c r="F40" s="54"/>
      <c r="G40" s="54"/>
      <c r="H40" s="54"/>
      <c r="I40" s="273" t="n">
        <f aca="false">ROUND(I32*21*(60/52.5-1),2)</f>
        <v>26.7</v>
      </c>
      <c r="L40" s="55"/>
    </row>
    <row r="41" customFormat="false" ht="23.25" hidden="false" customHeight="true" outlineLevel="0" collapsed="false">
      <c r="A41" s="88" t="s">
        <v>40</v>
      </c>
      <c r="B41" s="58" t="s">
        <v>43</v>
      </c>
      <c r="C41" s="58"/>
      <c r="D41" s="58"/>
      <c r="E41" s="58"/>
      <c r="F41" s="58"/>
      <c r="G41" s="58"/>
      <c r="H41" s="58"/>
      <c r="I41" s="273" t="n">
        <f aca="false">SUM(I38:I40)*0.2</f>
        <v>85.786</v>
      </c>
      <c r="K41" s="59"/>
    </row>
    <row r="42" customFormat="false" ht="15.75" hidden="false" customHeight="false" outlineLevel="0" collapsed="false">
      <c r="A42" s="60" t="s">
        <v>44</v>
      </c>
      <c r="B42" s="60"/>
      <c r="C42" s="60"/>
      <c r="D42" s="60"/>
      <c r="E42" s="60"/>
      <c r="F42" s="60"/>
      <c r="G42" s="60"/>
      <c r="H42" s="60"/>
      <c r="I42" s="275" t="n">
        <f aca="false">SUM(I37:I41)</f>
        <v>2887.756</v>
      </c>
    </row>
    <row r="43" customFormat="false" ht="15.75" hidden="false" customHeight="false" outlineLevel="0" collapsed="false">
      <c r="A43" s="47" t="s">
        <v>45</v>
      </c>
      <c r="B43" s="47"/>
      <c r="C43" s="47"/>
      <c r="D43" s="47"/>
      <c r="E43" s="47"/>
      <c r="F43" s="47"/>
      <c r="G43" s="47"/>
      <c r="H43" s="47"/>
      <c r="I43" s="47"/>
    </row>
    <row r="44" customFormat="false" ht="15.75" hidden="false" customHeight="false" outlineLevel="0" collapsed="false">
      <c r="A44" s="62" t="n">
        <v>2</v>
      </c>
      <c r="B44" s="63" t="s">
        <v>46</v>
      </c>
      <c r="C44" s="63"/>
      <c r="D44" s="63"/>
      <c r="E44" s="63"/>
      <c r="F44" s="63"/>
      <c r="G44" s="63"/>
      <c r="H44" s="63"/>
      <c r="I44" s="272" t="s">
        <v>35</v>
      </c>
    </row>
    <row r="45" customFormat="false" ht="18" hidden="false" customHeight="true" outlineLevel="0" collapsed="false">
      <c r="A45" s="64" t="s">
        <v>8</v>
      </c>
      <c r="B45" s="54" t="s">
        <v>206</v>
      </c>
      <c r="C45" s="54"/>
      <c r="D45" s="54"/>
      <c r="E45" s="54"/>
      <c r="F45" s="54"/>
      <c r="G45" s="54"/>
      <c r="H45" s="54"/>
      <c r="I45" s="279" t="n">
        <f aca="false">ROUND((2*H47*H46*21)-(0.06*I37),2)</f>
        <v>109.62</v>
      </c>
      <c r="L45" s="66"/>
    </row>
    <row r="46" customFormat="false" ht="31.5" hidden="false" customHeight="true" outlineLevel="0" collapsed="false">
      <c r="A46" s="64"/>
      <c r="B46" s="277" t="s">
        <v>270</v>
      </c>
      <c r="C46" s="277"/>
      <c r="D46" s="277"/>
      <c r="E46" s="277"/>
      <c r="F46" s="277"/>
      <c r="G46" s="277"/>
      <c r="H46" s="278" t="n">
        <f aca="false">Dados!B15</f>
        <v>3</v>
      </c>
      <c r="I46" s="279"/>
    </row>
    <row r="47" customFormat="false" ht="15.75" hidden="false" customHeight="false" outlineLevel="0" collapsed="false">
      <c r="A47" s="64"/>
      <c r="B47" s="69" t="s">
        <v>49</v>
      </c>
      <c r="C47" s="69"/>
      <c r="D47" s="69"/>
      <c r="E47" s="69"/>
      <c r="F47" s="69"/>
      <c r="G47" s="69"/>
      <c r="H47" s="70" t="n">
        <v>2</v>
      </c>
      <c r="I47" s="279"/>
    </row>
    <row r="48" customFormat="false" ht="15.75" hidden="false" customHeight="true" outlineLevel="0" collapsed="false">
      <c r="A48" s="64" t="s">
        <v>10</v>
      </c>
      <c r="B48" s="54" t="s">
        <v>50</v>
      </c>
      <c r="C48" s="54"/>
      <c r="D48" s="54"/>
      <c r="E48" s="54"/>
      <c r="F48" s="54"/>
      <c r="G48" s="54"/>
      <c r="H48" s="54"/>
      <c r="I48" s="279" t="n">
        <f aca="false">ROUND((2*21*H49)*(1-0.18),2)</f>
        <v>576.18</v>
      </c>
    </row>
    <row r="49" customFormat="false" ht="15.75" hidden="false" customHeight="false" outlineLevel="0" collapsed="false">
      <c r="A49" s="64"/>
      <c r="B49" s="69" t="s">
        <v>51</v>
      </c>
      <c r="C49" s="69"/>
      <c r="D49" s="69"/>
      <c r="E49" s="69"/>
      <c r="F49" s="69"/>
      <c r="G49" s="69"/>
      <c r="H49" s="280" t="n">
        <f aca="false">Dados!B3</f>
        <v>16.73</v>
      </c>
      <c r="I49" s="281"/>
    </row>
    <row r="50" customFormat="false" ht="22.5" hidden="false" customHeight="true" outlineLevel="0" collapsed="false">
      <c r="A50" s="17" t="s">
        <v>12</v>
      </c>
      <c r="B50" s="58" t="s">
        <v>194</v>
      </c>
      <c r="C50" s="58"/>
      <c r="D50" s="58"/>
      <c r="E50" s="58"/>
      <c r="F50" s="58"/>
      <c r="G50" s="58"/>
      <c r="H50" s="58"/>
      <c r="I50" s="279" t="n">
        <f aca="false">ROUND(Dados!B5*2,2)</f>
        <v>30.04</v>
      </c>
    </row>
    <row r="51" customFormat="false" ht="15.75" hidden="false" customHeight="false" outlineLevel="0" collapsed="false">
      <c r="A51" s="60" t="s">
        <v>53</v>
      </c>
      <c r="B51" s="60"/>
      <c r="C51" s="60"/>
      <c r="D51" s="60"/>
      <c r="E51" s="60"/>
      <c r="F51" s="60"/>
      <c r="G51" s="60"/>
      <c r="H51" s="60"/>
      <c r="I51" s="275" t="n">
        <f aca="false">SUM(I45:I50)</f>
        <v>715.84</v>
      </c>
    </row>
    <row r="52" customFormat="false" ht="15.75" hidden="false" customHeight="false" outlineLevel="0" collapsed="false">
      <c r="A52" s="73" t="s">
        <v>54</v>
      </c>
      <c r="B52" s="73"/>
      <c r="C52" s="73"/>
      <c r="D52" s="73"/>
      <c r="E52" s="73"/>
      <c r="F52" s="73"/>
      <c r="G52" s="73"/>
      <c r="H52" s="73"/>
      <c r="I52" s="73"/>
    </row>
    <row r="53" customFormat="false" ht="15.75" hidden="false" customHeight="false" outlineLevel="0" collapsed="false">
      <c r="A53" s="47" t="s">
        <v>55</v>
      </c>
      <c r="B53" s="47"/>
      <c r="C53" s="47"/>
      <c r="D53" s="47"/>
      <c r="E53" s="47"/>
      <c r="F53" s="47"/>
      <c r="G53" s="47"/>
      <c r="H53" s="47"/>
      <c r="I53" s="47"/>
    </row>
    <row r="54" customFormat="false" ht="15.75" hidden="false" customHeight="false" outlineLevel="0" collapsed="false">
      <c r="A54" s="62" t="n">
        <v>3</v>
      </c>
      <c r="B54" s="63" t="s">
        <v>56</v>
      </c>
      <c r="C54" s="63"/>
      <c r="D54" s="63"/>
      <c r="E54" s="63"/>
      <c r="F54" s="63"/>
      <c r="G54" s="63"/>
      <c r="H54" s="63"/>
      <c r="I54" s="272" t="s">
        <v>35</v>
      </c>
    </row>
    <row r="55" customFormat="false" ht="15.75" hidden="false" customHeight="false" outlineLevel="0" collapsed="false">
      <c r="A55" s="64" t="s">
        <v>8</v>
      </c>
      <c r="B55" s="74" t="s">
        <v>233</v>
      </c>
      <c r="C55" s="74"/>
      <c r="D55" s="74"/>
      <c r="E55" s="74"/>
      <c r="F55" s="74"/>
      <c r="G55" s="74"/>
      <c r="H55" s="74"/>
      <c r="I55" s="282" t="n">
        <f aca="false">Dados!D6*2</f>
        <v>137.67625</v>
      </c>
      <c r="J55" s="76"/>
      <c r="K55" s="77"/>
    </row>
    <row r="56" customFormat="false" ht="15.75" hidden="false" customHeight="false" outlineLevel="0" collapsed="false">
      <c r="A56" s="60" t="s">
        <v>58</v>
      </c>
      <c r="B56" s="60"/>
      <c r="C56" s="60"/>
      <c r="D56" s="60"/>
      <c r="E56" s="60"/>
      <c r="F56" s="60"/>
      <c r="G56" s="60"/>
      <c r="H56" s="60"/>
      <c r="I56" s="283" t="n">
        <f aca="false">SUM(I55:I55)</f>
        <v>137.67625</v>
      </c>
    </row>
    <row r="57" customFormat="false" ht="15.75" hidden="false" customHeight="false" outlineLevel="0" collapsed="false">
      <c r="A57" s="47" t="s">
        <v>59</v>
      </c>
      <c r="B57" s="47"/>
      <c r="C57" s="47"/>
      <c r="D57" s="47"/>
      <c r="E57" s="47"/>
      <c r="F57" s="47"/>
      <c r="G57" s="47"/>
      <c r="H57" s="47"/>
      <c r="I57" s="47"/>
    </row>
    <row r="58" customFormat="false" ht="15.75" hidden="false" customHeight="false" outlineLevel="0" collapsed="false">
      <c r="A58" s="79" t="s">
        <v>60</v>
      </c>
      <c r="B58" s="79"/>
      <c r="C58" s="79"/>
      <c r="D58" s="79"/>
      <c r="E58" s="79"/>
      <c r="F58" s="79"/>
      <c r="G58" s="79"/>
      <c r="H58" s="79"/>
      <c r="I58" s="79"/>
    </row>
    <row r="59" customFormat="false" ht="15.75" hidden="false" customHeight="false" outlineLevel="0" collapsed="false">
      <c r="A59" s="62" t="s">
        <v>61</v>
      </c>
      <c r="B59" s="80" t="s">
        <v>62</v>
      </c>
      <c r="C59" s="80"/>
      <c r="D59" s="80"/>
      <c r="E59" s="80"/>
      <c r="F59" s="80"/>
      <c r="G59" s="80"/>
      <c r="H59" s="81" t="s">
        <v>63</v>
      </c>
      <c r="I59" s="272" t="s">
        <v>35</v>
      </c>
    </row>
    <row r="60" customFormat="false" ht="15.75" hidden="false" customHeight="false" outlineLevel="0" collapsed="false">
      <c r="A60" s="82" t="s">
        <v>8</v>
      </c>
      <c r="B60" s="83" t="s">
        <v>64</v>
      </c>
      <c r="C60" s="83"/>
      <c r="D60" s="83"/>
      <c r="E60" s="83"/>
      <c r="F60" s="83"/>
      <c r="G60" s="83"/>
      <c r="H60" s="84" t="n">
        <v>0.2</v>
      </c>
      <c r="I60" s="273" t="n">
        <f aca="false">ROUND(($I$42-$I$38)*H60,2)</f>
        <v>502.8</v>
      </c>
      <c r="K60" s="66"/>
    </row>
    <row r="61" customFormat="false" ht="15.75" hidden="false" customHeight="false" outlineLevel="0" collapsed="false">
      <c r="A61" s="82" t="s">
        <v>10</v>
      </c>
      <c r="B61" s="83" t="s">
        <v>65</v>
      </c>
      <c r="C61" s="83"/>
      <c r="D61" s="83"/>
      <c r="E61" s="83"/>
      <c r="F61" s="83"/>
      <c r="G61" s="83"/>
      <c r="H61" s="85" t="n">
        <v>0.015</v>
      </c>
      <c r="I61" s="273" t="n">
        <f aca="false">ROUND(($I$42-$I$38)*H61,2)</f>
        <v>37.71</v>
      </c>
      <c r="K61" s="66"/>
    </row>
    <row r="62" customFormat="false" ht="15.75" hidden="false" customHeight="false" outlineLevel="0" collapsed="false">
      <c r="A62" s="82" t="s">
        <v>12</v>
      </c>
      <c r="B62" s="83" t="s">
        <v>66</v>
      </c>
      <c r="C62" s="83"/>
      <c r="D62" s="83"/>
      <c r="E62" s="83"/>
      <c r="F62" s="83"/>
      <c r="G62" s="83"/>
      <c r="H62" s="84" t="n">
        <v>0.01</v>
      </c>
      <c r="I62" s="273" t="n">
        <f aca="false">ROUND(($I$42-$I$38)*H62,2)</f>
        <v>25.14</v>
      </c>
      <c r="K62" s="66"/>
    </row>
    <row r="63" customFormat="false" ht="15.75" hidden="false" customHeight="false" outlineLevel="0" collapsed="false">
      <c r="A63" s="82" t="s">
        <v>14</v>
      </c>
      <c r="B63" s="83" t="s">
        <v>67</v>
      </c>
      <c r="C63" s="83"/>
      <c r="D63" s="83"/>
      <c r="E63" s="83"/>
      <c r="F63" s="83"/>
      <c r="G63" s="83"/>
      <c r="H63" s="86" t="n">
        <v>0.002</v>
      </c>
      <c r="I63" s="273" t="n">
        <f aca="false">ROUND(($I$42-$I$38)*H63,2)</f>
        <v>5.03</v>
      </c>
      <c r="K63" s="66"/>
    </row>
    <row r="64" customFormat="false" ht="15.75" hidden="false" customHeight="false" outlineLevel="0" collapsed="false">
      <c r="A64" s="82" t="s">
        <v>40</v>
      </c>
      <c r="B64" s="83" t="s">
        <v>68</v>
      </c>
      <c r="C64" s="83"/>
      <c r="D64" s="83"/>
      <c r="E64" s="83"/>
      <c r="F64" s="83"/>
      <c r="G64" s="83"/>
      <c r="H64" s="86" t="n">
        <v>0.025</v>
      </c>
      <c r="I64" s="273" t="n">
        <f aca="false">ROUND(($I$42-$I$38)*H64,2)</f>
        <v>62.85</v>
      </c>
      <c r="K64" s="66"/>
    </row>
    <row r="65" customFormat="false" ht="15.75" hidden="false" customHeight="false" outlineLevel="0" collapsed="false">
      <c r="A65" s="82" t="s">
        <v>42</v>
      </c>
      <c r="B65" s="83" t="s">
        <v>69</v>
      </c>
      <c r="C65" s="83"/>
      <c r="D65" s="83"/>
      <c r="E65" s="83"/>
      <c r="F65" s="83"/>
      <c r="G65" s="83"/>
      <c r="H65" s="84" t="n">
        <v>0.08</v>
      </c>
      <c r="I65" s="273" t="n">
        <f aca="false">ROUND(($I$42-$I$38)*H65,2)</f>
        <v>201.12</v>
      </c>
      <c r="K65" s="66"/>
    </row>
    <row r="66" customFormat="false" ht="15.75" hidden="false" customHeight="false" outlineLevel="0" collapsed="false">
      <c r="A66" s="82" t="s">
        <v>70</v>
      </c>
      <c r="B66" s="87" t="s">
        <v>71</v>
      </c>
      <c r="C66" s="87"/>
      <c r="D66" s="87"/>
      <c r="E66" s="87"/>
      <c r="F66" s="88" t="s">
        <v>72</v>
      </c>
      <c r="G66" s="89" t="s">
        <v>196</v>
      </c>
      <c r="H66" s="86" t="n">
        <v>0.015</v>
      </c>
      <c r="I66" s="273" t="n">
        <f aca="false">ROUND(($I$42-$I$38)*H66,2)</f>
        <v>37.71</v>
      </c>
      <c r="K66" s="66"/>
    </row>
    <row r="67" customFormat="false" ht="15.75" hidden="false" customHeight="false" outlineLevel="0" collapsed="false">
      <c r="A67" s="82" t="s">
        <v>74</v>
      </c>
      <c r="B67" s="83" t="s">
        <v>75</v>
      </c>
      <c r="C67" s="83"/>
      <c r="D67" s="83"/>
      <c r="E67" s="83"/>
      <c r="F67" s="83"/>
      <c r="G67" s="83"/>
      <c r="H67" s="86" t="n">
        <v>0.006</v>
      </c>
      <c r="I67" s="273" t="n">
        <f aca="false">ROUND(($I$42-$I$38)*H67,2)</f>
        <v>15.08</v>
      </c>
      <c r="K67" s="66"/>
    </row>
    <row r="68" customFormat="false" ht="15.75" hidden="false" customHeight="false" outlineLevel="0" collapsed="false">
      <c r="A68" s="90" t="s">
        <v>76</v>
      </c>
      <c r="B68" s="90"/>
      <c r="C68" s="90"/>
      <c r="D68" s="90"/>
      <c r="E68" s="90"/>
      <c r="F68" s="90"/>
      <c r="G68" s="90"/>
      <c r="H68" s="91" t="n">
        <f aca="false">SUM(H60:H67)</f>
        <v>0.353</v>
      </c>
      <c r="I68" s="284" t="n">
        <f aca="false">SUM(I60:I67)</f>
        <v>887.44</v>
      </c>
      <c r="K68" s="66"/>
    </row>
    <row r="69" customFormat="false" ht="15.75" hidden="false" customHeight="false" outlineLevel="0" collapsed="false">
      <c r="A69" s="93" t="s">
        <v>77</v>
      </c>
      <c r="B69" s="93"/>
      <c r="C69" s="93"/>
      <c r="D69" s="93"/>
      <c r="E69" s="93"/>
      <c r="F69" s="93"/>
      <c r="G69" s="93"/>
      <c r="H69" s="93"/>
      <c r="I69" s="93"/>
    </row>
    <row r="70" customFormat="false" ht="15.75" hidden="false" customHeight="false" outlineLevel="0" collapsed="false">
      <c r="A70" s="94" t="s">
        <v>78</v>
      </c>
      <c r="B70" s="94"/>
      <c r="C70" s="94"/>
      <c r="D70" s="94"/>
      <c r="E70" s="94"/>
      <c r="F70" s="94"/>
      <c r="G70" s="94"/>
      <c r="H70" s="94"/>
      <c r="I70" s="94"/>
    </row>
    <row r="71" customFormat="false" ht="15.75" hidden="false" customHeight="false" outlineLevel="0" collapsed="false">
      <c r="A71" s="79" t="s">
        <v>79</v>
      </c>
      <c r="B71" s="79"/>
      <c r="C71" s="79"/>
      <c r="D71" s="79"/>
      <c r="E71" s="79"/>
      <c r="F71" s="79"/>
      <c r="G71" s="79"/>
      <c r="H71" s="79"/>
      <c r="I71" s="79"/>
    </row>
    <row r="72" customFormat="false" ht="15.75" hidden="false" customHeight="false" outlineLevel="0" collapsed="false">
      <c r="A72" s="62" t="s">
        <v>80</v>
      </c>
      <c r="B72" s="81" t="s">
        <v>81</v>
      </c>
      <c r="C72" s="81"/>
      <c r="D72" s="81"/>
      <c r="E72" s="81"/>
      <c r="F72" s="81"/>
      <c r="G72" s="81"/>
      <c r="H72" s="81"/>
      <c r="I72" s="272" t="s">
        <v>35</v>
      </c>
    </row>
    <row r="73" customFormat="false" ht="33.75" hidden="false" customHeight="true" outlineLevel="0" collapsed="false">
      <c r="A73" s="17" t="s">
        <v>8</v>
      </c>
      <c r="B73" s="95" t="s">
        <v>82</v>
      </c>
      <c r="C73" s="95"/>
      <c r="D73" s="95"/>
      <c r="E73" s="95"/>
      <c r="F73" s="95"/>
      <c r="G73" s="95"/>
      <c r="H73" s="95"/>
      <c r="I73" s="285" t="n">
        <f aca="false">ROUND(I42/12,2)</f>
        <v>240.65</v>
      </c>
      <c r="K73" s="66"/>
    </row>
    <row r="74" customFormat="false" ht="15.75" hidden="false" customHeight="false" outlineLevel="0" collapsed="false">
      <c r="A74" s="97" t="s">
        <v>83</v>
      </c>
      <c r="B74" s="97"/>
      <c r="C74" s="97"/>
      <c r="D74" s="97"/>
      <c r="E74" s="97"/>
      <c r="F74" s="97"/>
      <c r="G74" s="97"/>
      <c r="H74" s="97"/>
      <c r="I74" s="273" t="n">
        <f aca="false">SUM(I73:I73)</f>
        <v>240.65</v>
      </c>
      <c r="K74" s="66"/>
    </row>
    <row r="75" customFormat="false" ht="15.75" hidden="false" customHeight="false" outlineLevel="0" collapsed="false">
      <c r="A75" s="17" t="s">
        <v>10</v>
      </c>
      <c r="B75" s="83" t="s">
        <v>84</v>
      </c>
      <c r="C75" s="83"/>
      <c r="D75" s="83"/>
      <c r="E75" s="83"/>
      <c r="F75" s="83"/>
      <c r="G75" s="83"/>
      <c r="H75" s="83"/>
      <c r="I75" s="273" t="n">
        <f aca="false">ROUND(I74*H68,2)</f>
        <v>84.95</v>
      </c>
      <c r="K75" s="66"/>
    </row>
    <row r="76" customFormat="false" ht="15.75" hidden="false" customHeight="false" outlineLevel="0" collapsed="false">
      <c r="A76" s="60" t="s">
        <v>76</v>
      </c>
      <c r="B76" s="60"/>
      <c r="C76" s="60"/>
      <c r="D76" s="60"/>
      <c r="E76" s="60"/>
      <c r="F76" s="60"/>
      <c r="G76" s="60"/>
      <c r="H76" s="60"/>
      <c r="I76" s="275" t="n">
        <f aca="false">SUM(I74:I75)</f>
        <v>325.6</v>
      </c>
      <c r="K76" s="66"/>
    </row>
    <row r="77" customFormat="false" ht="15.75" hidden="false" customHeight="false" outlineLevel="0" collapsed="false">
      <c r="A77" s="79" t="s">
        <v>85</v>
      </c>
      <c r="B77" s="79"/>
      <c r="C77" s="79"/>
      <c r="D77" s="79"/>
      <c r="E77" s="79"/>
      <c r="F77" s="79"/>
      <c r="G77" s="79"/>
      <c r="H77" s="79"/>
      <c r="I77" s="79"/>
    </row>
    <row r="78" customFormat="false" ht="15.75" hidden="false" customHeight="false" outlineLevel="0" collapsed="false">
      <c r="A78" s="62" t="s">
        <v>86</v>
      </c>
      <c r="B78" s="81" t="s">
        <v>87</v>
      </c>
      <c r="C78" s="81"/>
      <c r="D78" s="81"/>
      <c r="E78" s="81"/>
      <c r="F78" s="81"/>
      <c r="G78" s="81"/>
      <c r="H78" s="81"/>
      <c r="I78" s="272" t="s">
        <v>35</v>
      </c>
    </row>
    <row r="79" customFormat="false" ht="15.75" hidden="false" customHeight="false" outlineLevel="0" collapsed="false">
      <c r="A79" s="17" t="s">
        <v>8</v>
      </c>
      <c r="B79" s="52" t="s">
        <v>88</v>
      </c>
      <c r="C79" s="52"/>
      <c r="D79" s="52"/>
      <c r="E79" s="52"/>
      <c r="F79" s="52"/>
      <c r="G79" s="52"/>
      <c r="H79" s="52"/>
      <c r="I79" s="282" t="n">
        <f aca="false">ROUND((((I42+I42/3)*(4/12))/12)*0.02,2)</f>
        <v>2.14</v>
      </c>
    </row>
    <row r="80" customFormat="false" ht="15.75" hidden="false" customHeight="false" outlineLevel="0" collapsed="false">
      <c r="A80" s="17" t="s">
        <v>10</v>
      </c>
      <c r="B80" s="83" t="s">
        <v>89</v>
      </c>
      <c r="C80" s="83"/>
      <c r="D80" s="83"/>
      <c r="E80" s="83"/>
      <c r="F80" s="83"/>
      <c r="G80" s="83"/>
      <c r="H80" s="83"/>
      <c r="I80" s="282" t="n">
        <f aca="false">ROUND(I79*H68,2)</f>
        <v>0.76</v>
      </c>
    </row>
    <row r="81" customFormat="false" ht="15.75" hidden="false" customHeight="false" outlineLevel="0" collapsed="false">
      <c r="A81" s="60" t="s">
        <v>76</v>
      </c>
      <c r="B81" s="60"/>
      <c r="C81" s="60"/>
      <c r="D81" s="60"/>
      <c r="E81" s="60"/>
      <c r="F81" s="60"/>
      <c r="G81" s="60"/>
      <c r="H81" s="60"/>
      <c r="I81" s="275" t="n">
        <f aca="false">SUM(I79:I80)</f>
        <v>2.9</v>
      </c>
    </row>
    <row r="82" customFormat="false" ht="15.75" hidden="false" customHeight="false" outlineLevel="0" collapsed="false">
      <c r="A82" s="79" t="s">
        <v>90</v>
      </c>
      <c r="B82" s="79"/>
      <c r="C82" s="79"/>
      <c r="D82" s="79"/>
      <c r="E82" s="79"/>
      <c r="F82" s="79"/>
      <c r="G82" s="79"/>
      <c r="H82" s="79"/>
      <c r="I82" s="79"/>
    </row>
    <row r="83" customFormat="false" ht="15.75" hidden="false" customHeight="false" outlineLevel="0" collapsed="false">
      <c r="A83" s="62" t="s">
        <v>91</v>
      </c>
      <c r="B83" s="81" t="s">
        <v>92</v>
      </c>
      <c r="C83" s="81"/>
      <c r="D83" s="81"/>
      <c r="E83" s="81"/>
      <c r="F83" s="81"/>
      <c r="G83" s="81"/>
      <c r="H83" s="81"/>
      <c r="I83" s="272" t="s">
        <v>35</v>
      </c>
    </row>
    <row r="84" customFormat="false" ht="25.5" hidden="false" customHeight="true" outlineLevel="0" collapsed="false">
      <c r="A84" s="17" t="s">
        <v>8</v>
      </c>
      <c r="B84" s="99" t="s">
        <v>93</v>
      </c>
      <c r="C84" s="99"/>
      <c r="D84" s="99"/>
      <c r="E84" s="99"/>
      <c r="F84" s="99"/>
      <c r="G84" s="99"/>
      <c r="H84" s="99"/>
      <c r="I84" s="273" t="n">
        <f aca="false">ROUND((I42/12)*(30/30)*0.05,2)</f>
        <v>12.03</v>
      </c>
    </row>
    <row r="85" customFormat="false" ht="15.75" hidden="false" customHeight="true" outlineLevel="0" collapsed="false">
      <c r="A85" s="17" t="s">
        <v>10</v>
      </c>
      <c r="B85" s="83" t="s">
        <v>94</v>
      </c>
      <c r="C85" s="83"/>
      <c r="D85" s="83"/>
      <c r="E85" s="83"/>
      <c r="F85" s="83"/>
      <c r="G85" s="83"/>
      <c r="H85" s="83"/>
      <c r="I85" s="273" t="n">
        <f aca="false">ROUND(I84*H65,2)</f>
        <v>0.96</v>
      </c>
    </row>
    <row r="86" customFormat="false" ht="49.5" hidden="false" customHeight="true" outlineLevel="0" collapsed="false">
      <c r="A86" s="17" t="s">
        <v>12</v>
      </c>
      <c r="B86" s="95" t="s">
        <v>95</v>
      </c>
      <c r="C86" s="95"/>
      <c r="D86" s="95"/>
      <c r="E86" s="95"/>
      <c r="F86" s="95"/>
      <c r="G86" s="95"/>
      <c r="H86" s="95"/>
      <c r="I86" s="285" t="n">
        <f aca="false">ROUND(0.0024*I42,2)</f>
        <v>6.93</v>
      </c>
      <c r="K86" s="66"/>
    </row>
    <row r="87" customFormat="false" ht="30.75" hidden="false" customHeight="true" outlineLevel="0" collapsed="false">
      <c r="A87" s="100" t="s">
        <v>14</v>
      </c>
      <c r="B87" s="99" t="s">
        <v>96</v>
      </c>
      <c r="C87" s="99"/>
      <c r="D87" s="99"/>
      <c r="E87" s="99"/>
      <c r="F87" s="99"/>
      <c r="G87" s="99"/>
      <c r="H87" s="99"/>
      <c r="I87" s="273" t="n">
        <v>0</v>
      </c>
      <c r="N87" s="101"/>
    </row>
    <row r="88" customFormat="false" ht="18" hidden="false" customHeight="true" outlineLevel="0" collapsed="false">
      <c r="A88" s="17" t="s">
        <v>40</v>
      </c>
      <c r="B88" s="83" t="s">
        <v>97</v>
      </c>
      <c r="C88" s="83"/>
      <c r="D88" s="83"/>
      <c r="E88" s="83"/>
      <c r="F88" s="83"/>
      <c r="G88" s="83"/>
      <c r="H88" s="83"/>
      <c r="I88" s="273" t="n">
        <f aca="false">ROUND(I87*H68,2)</f>
        <v>0</v>
      </c>
      <c r="J88" s="13"/>
      <c r="K88" s="13"/>
      <c r="L88" s="102"/>
    </row>
    <row r="89" customFormat="false" ht="48.75" hidden="false" customHeight="true" outlineLevel="0" collapsed="false">
      <c r="A89" s="17" t="s">
        <v>42</v>
      </c>
      <c r="B89" s="95" t="s">
        <v>98</v>
      </c>
      <c r="C89" s="95"/>
      <c r="D89" s="95"/>
      <c r="E89" s="95"/>
      <c r="F89" s="95"/>
      <c r="G89" s="95"/>
      <c r="H89" s="95"/>
      <c r="I89" s="285" t="n">
        <f aca="false">ROUND(0.0476*I42,2)</f>
        <v>137.46</v>
      </c>
      <c r="J89" s="13"/>
      <c r="K89" s="66"/>
      <c r="L89" s="13"/>
    </row>
    <row r="90" customFormat="false" ht="20.25" hidden="false" customHeight="true" outlineLevel="0" collapsed="false">
      <c r="A90" s="60" t="s">
        <v>76</v>
      </c>
      <c r="B90" s="60"/>
      <c r="C90" s="60"/>
      <c r="D90" s="60"/>
      <c r="E90" s="60"/>
      <c r="F90" s="60"/>
      <c r="G90" s="60"/>
      <c r="H90" s="60"/>
      <c r="I90" s="275" t="n">
        <f aca="false">SUM(I84:I89)</f>
        <v>157.38</v>
      </c>
    </row>
    <row r="91" customFormat="false" ht="20.25" hidden="false" customHeight="true" outlineLevel="0" collapsed="false">
      <c r="A91" s="79" t="s">
        <v>99</v>
      </c>
      <c r="B91" s="79"/>
      <c r="C91" s="79"/>
      <c r="D91" s="79"/>
      <c r="E91" s="79"/>
      <c r="F91" s="79"/>
      <c r="G91" s="79"/>
      <c r="H91" s="79"/>
      <c r="I91" s="79"/>
    </row>
    <row r="92" customFormat="false" ht="15.75" hidden="false" customHeight="false" outlineLevel="0" collapsed="false">
      <c r="A92" s="62" t="s">
        <v>100</v>
      </c>
      <c r="B92" s="81" t="s">
        <v>101</v>
      </c>
      <c r="C92" s="81"/>
      <c r="D92" s="81"/>
      <c r="E92" s="81"/>
      <c r="F92" s="81"/>
      <c r="G92" s="81"/>
      <c r="H92" s="81"/>
      <c r="I92" s="272" t="s">
        <v>35</v>
      </c>
    </row>
    <row r="93" customFormat="false" ht="49.5" hidden="false" customHeight="true" outlineLevel="0" collapsed="false">
      <c r="A93" s="17" t="s">
        <v>8</v>
      </c>
      <c r="B93" s="95" t="s">
        <v>102</v>
      </c>
      <c r="C93" s="95"/>
      <c r="D93" s="95"/>
      <c r="E93" s="95"/>
      <c r="F93" s="95"/>
      <c r="G93" s="95"/>
      <c r="H93" s="95"/>
      <c r="I93" s="285" t="n">
        <f aca="false">ROUND(0.121*I42,2)</f>
        <v>349.42</v>
      </c>
      <c r="K93" s="66"/>
    </row>
    <row r="94" customFormat="false" ht="17.25" hidden="false" customHeight="true" outlineLevel="0" collapsed="false">
      <c r="A94" s="17" t="s">
        <v>10</v>
      </c>
      <c r="B94" s="52" t="s">
        <v>103</v>
      </c>
      <c r="C94" s="52"/>
      <c r="D94" s="52"/>
      <c r="E94" s="52"/>
      <c r="F94" s="52"/>
      <c r="G94" s="52"/>
      <c r="H94" s="52"/>
      <c r="I94" s="273" t="n">
        <f aca="false">ROUND(((I42/30)*5)/12,2)</f>
        <v>40.11</v>
      </c>
    </row>
    <row r="95" customFormat="false" ht="16.5" hidden="false" customHeight="true" outlineLevel="0" collapsed="false">
      <c r="A95" s="17" t="s">
        <v>12</v>
      </c>
      <c r="B95" s="52" t="s">
        <v>104</v>
      </c>
      <c r="C95" s="52"/>
      <c r="D95" s="52"/>
      <c r="E95" s="52"/>
      <c r="F95" s="52"/>
      <c r="G95" s="52"/>
      <c r="H95" s="52"/>
      <c r="I95" s="273" t="n">
        <f aca="false">ROUND((((I42/30)*5)/12)*0.015,2)</f>
        <v>0.6</v>
      </c>
    </row>
    <row r="96" customFormat="false" ht="17.25" hidden="false" customHeight="true" outlineLevel="0" collapsed="false">
      <c r="A96" s="17" t="s">
        <v>14</v>
      </c>
      <c r="B96" s="52" t="s">
        <v>105</v>
      </c>
      <c r="C96" s="52"/>
      <c r="D96" s="52"/>
      <c r="E96" s="52"/>
      <c r="F96" s="52"/>
      <c r="G96" s="52"/>
      <c r="H96" s="52"/>
      <c r="I96" s="273" t="n">
        <f aca="false">ROUND(((I42/30)*2.96)/12,2)</f>
        <v>23.74</v>
      </c>
    </row>
    <row r="97" customFormat="false" ht="16.5" hidden="false" customHeight="true" outlineLevel="0" collapsed="false">
      <c r="A97" s="17" t="s">
        <v>40</v>
      </c>
      <c r="B97" s="52" t="s">
        <v>106</v>
      </c>
      <c r="C97" s="52"/>
      <c r="D97" s="52"/>
      <c r="E97" s="52"/>
      <c r="F97" s="52"/>
      <c r="G97" s="52"/>
      <c r="H97" s="52"/>
      <c r="I97" s="273" t="n">
        <f aca="false">ROUND((((I42/30)*15)/12)*0.0078,2)</f>
        <v>0.94</v>
      </c>
    </row>
    <row r="98" customFormat="false" ht="15.75" hidden="false" customHeight="false" outlineLevel="0" collapsed="false">
      <c r="A98" s="97" t="s">
        <v>83</v>
      </c>
      <c r="B98" s="97"/>
      <c r="C98" s="97"/>
      <c r="D98" s="97"/>
      <c r="E98" s="97"/>
      <c r="F98" s="97"/>
      <c r="G98" s="97"/>
      <c r="H98" s="97"/>
      <c r="I98" s="281" t="n">
        <f aca="false">SUM(I93:I97)</f>
        <v>414.81</v>
      </c>
      <c r="K98" s="66"/>
    </row>
    <row r="99" customFormat="false" ht="18" hidden="false" customHeight="true" outlineLevel="0" collapsed="false">
      <c r="A99" s="17" t="s">
        <v>70</v>
      </c>
      <c r="B99" s="83" t="s">
        <v>107</v>
      </c>
      <c r="C99" s="83"/>
      <c r="D99" s="83"/>
      <c r="E99" s="83"/>
      <c r="F99" s="83"/>
      <c r="G99" s="83"/>
      <c r="H99" s="83"/>
      <c r="I99" s="286" t="n">
        <f aca="false">ROUND(I98*H68,2)</f>
        <v>146.43</v>
      </c>
      <c r="K99" s="66"/>
    </row>
    <row r="100" customFormat="false" ht="15.75" hidden="false" customHeight="false" outlineLevel="0" collapsed="false">
      <c r="A100" s="60" t="s">
        <v>76</v>
      </c>
      <c r="B100" s="60"/>
      <c r="C100" s="60"/>
      <c r="D100" s="60"/>
      <c r="E100" s="60"/>
      <c r="F100" s="60"/>
      <c r="G100" s="60"/>
      <c r="H100" s="60"/>
      <c r="I100" s="275" t="n">
        <f aca="false">SUM(I98+I99)</f>
        <v>561.24</v>
      </c>
      <c r="K100" s="66"/>
    </row>
    <row r="101" customFormat="false" ht="15.75" hidden="false" customHeight="false" outlineLevel="0" collapsed="false">
      <c r="A101" s="104" t="s">
        <v>108</v>
      </c>
      <c r="B101" s="104"/>
      <c r="C101" s="104"/>
      <c r="D101" s="104"/>
      <c r="E101" s="104"/>
      <c r="F101" s="104"/>
      <c r="G101" s="104"/>
      <c r="H101" s="104"/>
      <c r="I101" s="104"/>
    </row>
    <row r="102" customFormat="false" ht="15.75" hidden="false" customHeight="false" outlineLevel="0" collapsed="false">
      <c r="A102" s="62" t="n">
        <v>4</v>
      </c>
      <c r="B102" s="81" t="s">
        <v>109</v>
      </c>
      <c r="C102" s="81"/>
      <c r="D102" s="81"/>
      <c r="E102" s="81"/>
      <c r="F102" s="81"/>
      <c r="G102" s="81"/>
      <c r="H102" s="81"/>
      <c r="I102" s="272" t="s">
        <v>35</v>
      </c>
    </row>
    <row r="103" customFormat="false" ht="15.75" hidden="false" customHeight="false" outlineLevel="0" collapsed="false">
      <c r="A103" s="17" t="s">
        <v>61</v>
      </c>
      <c r="B103" s="83" t="s">
        <v>62</v>
      </c>
      <c r="C103" s="83"/>
      <c r="D103" s="83"/>
      <c r="E103" s="83"/>
      <c r="F103" s="83"/>
      <c r="G103" s="83"/>
      <c r="H103" s="83"/>
      <c r="I103" s="282" t="n">
        <f aca="false">I68</f>
        <v>887.44</v>
      </c>
    </row>
    <row r="104" customFormat="false" ht="15.75" hidden="false" customHeight="false" outlineLevel="0" collapsed="false">
      <c r="A104" s="17" t="s">
        <v>80</v>
      </c>
      <c r="B104" s="83" t="s">
        <v>110</v>
      </c>
      <c r="C104" s="83"/>
      <c r="D104" s="83"/>
      <c r="E104" s="83"/>
      <c r="F104" s="83"/>
      <c r="G104" s="83"/>
      <c r="H104" s="83"/>
      <c r="I104" s="282" t="n">
        <f aca="false">I76</f>
        <v>325.6</v>
      </c>
    </row>
    <row r="105" customFormat="false" ht="15.75" hidden="false" customHeight="false" outlineLevel="0" collapsed="false">
      <c r="A105" s="17" t="s">
        <v>86</v>
      </c>
      <c r="B105" s="83" t="s">
        <v>87</v>
      </c>
      <c r="C105" s="83"/>
      <c r="D105" s="83"/>
      <c r="E105" s="83"/>
      <c r="F105" s="83"/>
      <c r="G105" s="83"/>
      <c r="H105" s="83"/>
      <c r="I105" s="282" t="n">
        <f aca="false">I81</f>
        <v>2.9</v>
      </c>
    </row>
    <row r="106" customFormat="false" ht="15.75" hidden="false" customHeight="false" outlineLevel="0" collapsed="false">
      <c r="A106" s="17" t="s">
        <v>91</v>
      </c>
      <c r="B106" s="83" t="s">
        <v>111</v>
      </c>
      <c r="C106" s="83"/>
      <c r="D106" s="83"/>
      <c r="E106" s="83"/>
      <c r="F106" s="83"/>
      <c r="G106" s="83"/>
      <c r="H106" s="83"/>
      <c r="I106" s="282" t="n">
        <f aca="false">I90</f>
        <v>157.38</v>
      </c>
    </row>
    <row r="107" customFormat="false" ht="15.75" hidden="false" customHeight="false" outlineLevel="0" collapsed="false">
      <c r="A107" s="17" t="s">
        <v>100</v>
      </c>
      <c r="B107" s="83" t="s">
        <v>112</v>
      </c>
      <c r="C107" s="83"/>
      <c r="D107" s="83"/>
      <c r="E107" s="83"/>
      <c r="F107" s="83"/>
      <c r="G107" s="83"/>
      <c r="H107" s="83"/>
      <c r="I107" s="282" t="n">
        <f aca="false">I100</f>
        <v>561.24</v>
      </c>
    </row>
    <row r="108" customFormat="false" ht="15.75" hidden="false" customHeight="false" outlineLevel="0" collapsed="false">
      <c r="A108" s="60" t="s">
        <v>76</v>
      </c>
      <c r="B108" s="60"/>
      <c r="C108" s="60"/>
      <c r="D108" s="60"/>
      <c r="E108" s="60"/>
      <c r="F108" s="60"/>
      <c r="G108" s="60"/>
      <c r="H108" s="60"/>
      <c r="I108" s="275" t="n">
        <f aca="false">SUM(I103:I107)</f>
        <v>1934.56</v>
      </c>
      <c r="K108" s="106"/>
    </row>
    <row r="109" customFormat="false" ht="24" hidden="false" customHeight="true" outlineLevel="0" collapsed="false">
      <c r="A109" s="107" t="s">
        <v>113</v>
      </c>
      <c r="B109" s="107"/>
      <c r="C109" s="107"/>
      <c r="D109" s="107"/>
      <c r="E109" s="107"/>
      <c r="F109" s="107"/>
      <c r="G109" s="107"/>
      <c r="H109" s="107"/>
      <c r="I109" s="107"/>
    </row>
    <row r="110" customFormat="false" ht="18" hidden="false" customHeight="true" outlineLevel="0" collapsed="false">
      <c r="A110" s="62" t="n">
        <v>5</v>
      </c>
      <c r="B110" s="63" t="s">
        <v>114</v>
      </c>
      <c r="C110" s="63"/>
      <c r="D110" s="63"/>
      <c r="E110" s="63"/>
      <c r="F110" s="63"/>
      <c r="G110" s="63"/>
      <c r="H110" s="108" t="s">
        <v>63</v>
      </c>
      <c r="I110" s="272" t="s">
        <v>35</v>
      </c>
    </row>
    <row r="111" customFormat="false" ht="48" hidden="false" customHeight="true" outlineLevel="0" collapsed="false">
      <c r="A111" s="109" t="s">
        <v>115</v>
      </c>
      <c r="B111" s="109"/>
      <c r="C111" s="109"/>
      <c r="D111" s="109"/>
      <c r="E111" s="109"/>
      <c r="F111" s="109"/>
      <c r="G111" s="109"/>
      <c r="H111" s="110" t="n">
        <v>0</v>
      </c>
      <c r="I111" s="287" t="n">
        <f aca="false">(I42+I51+I56+I108)</f>
        <v>5675.83225</v>
      </c>
    </row>
    <row r="112" customFormat="false" ht="15.75" hidden="false" customHeight="false" outlineLevel="0" collapsed="false">
      <c r="A112" s="17" t="s">
        <v>8</v>
      </c>
      <c r="B112" s="83" t="s">
        <v>116</v>
      </c>
      <c r="C112" s="83"/>
      <c r="D112" s="83"/>
      <c r="E112" s="83"/>
      <c r="F112" s="83"/>
      <c r="G112" s="83"/>
      <c r="H112" s="112" t="n">
        <f aca="false">'Dom Pedrito 4.2'!H110</f>
        <v>0.1207</v>
      </c>
      <c r="I112" s="273" t="n">
        <f aca="false">ROUND(I111*H112,2)</f>
        <v>685.07</v>
      </c>
      <c r="J112" s="113"/>
    </row>
    <row r="113" customFormat="false" ht="47.25" hidden="false" customHeight="true" outlineLevel="0" collapsed="false">
      <c r="A113" s="109" t="s">
        <v>117</v>
      </c>
      <c r="B113" s="109"/>
      <c r="C113" s="109"/>
      <c r="D113" s="109"/>
      <c r="E113" s="109"/>
      <c r="F113" s="109"/>
      <c r="G113" s="109"/>
      <c r="H113" s="114" t="n">
        <v>0</v>
      </c>
      <c r="I113" s="288" t="n">
        <f aca="false">I111+I112</f>
        <v>6360.90225</v>
      </c>
      <c r="J113" s="113"/>
    </row>
    <row r="114" customFormat="false" ht="15.75" hidden="false" customHeight="false" outlineLevel="0" collapsed="false">
      <c r="A114" s="17" t="s">
        <v>10</v>
      </c>
      <c r="B114" s="83" t="s">
        <v>118</v>
      </c>
      <c r="C114" s="83"/>
      <c r="D114" s="83"/>
      <c r="E114" s="83"/>
      <c r="F114" s="83"/>
      <c r="G114" s="83"/>
      <c r="H114" s="112" t="n">
        <f aca="false">'Dom Pedrito 4.2'!H112</f>
        <v>0.0818</v>
      </c>
      <c r="I114" s="273" t="n">
        <f aca="false">ROUND(I113*H114,2)</f>
        <v>520.32</v>
      </c>
      <c r="J114" s="116"/>
    </row>
    <row r="115" customFormat="false" ht="45.75" hidden="false" customHeight="true" outlineLevel="0" collapsed="false">
      <c r="A115" s="109" t="s">
        <v>119</v>
      </c>
      <c r="B115" s="109"/>
      <c r="C115" s="109"/>
      <c r="D115" s="109"/>
      <c r="E115" s="109"/>
      <c r="F115" s="109"/>
      <c r="G115" s="109"/>
      <c r="H115" s="117" t="n">
        <v>0</v>
      </c>
      <c r="I115" s="289" t="n">
        <f aca="false">I113+I114</f>
        <v>6881.22225</v>
      </c>
      <c r="J115" s="116"/>
    </row>
    <row r="116" customFormat="false" ht="15.75" hidden="false" customHeight="false" outlineLevel="0" collapsed="false">
      <c r="A116" s="17" t="s">
        <v>12</v>
      </c>
      <c r="B116" s="83" t="s">
        <v>120</v>
      </c>
      <c r="C116" s="83"/>
      <c r="D116" s="83"/>
      <c r="E116" s="83"/>
      <c r="F116" s="83"/>
      <c r="G116" s="83"/>
      <c r="H116" s="119" t="s">
        <v>198</v>
      </c>
      <c r="I116" s="290" t="s">
        <v>198</v>
      </c>
      <c r="J116" s="116"/>
    </row>
    <row r="117" customFormat="false" ht="15.75" hidden="false" customHeight="false" outlineLevel="0" collapsed="false">
      <c r="A117" s="17"/>
      <c r="B117" s="83" t="s">
        <v>121</v>
      </c>
      <c r="C117" s="83"/>
      <c r="D117" s="83"/>
      <c r="E117" s="83"/>
      <c r="F117" s="83"/>
      <c r="G117" s="83"/>
      <c r="H117" s="119" t="s">
        <v>198</v>
      </c>
      <c r="I117" s="290" t="s">
        <v>198</v>
      </c>
    </row>
    <row r="118" customFormat="false" ht="30.75" hidden="false" customHeight="true" outlineLevel="0" collapsed="false">
      <c r="A118" s="17"/>
      <c r="B118" s="67" t="s">
        <v>199</v>
      </c>
      <c r="C118" s="67"/>
      <c r="D118" s="67"/>
      <c r="E118" s="67"/>
      <c r="F118" s="67"/>
      <c r="G118" s="67"/>
      <c r="H118" s="121" t="n">
        <v>0.03</v>
      </c>
      <c r="I118" s="273" t="n">
        <f aca="false">ROUND(($I$115/(1-H125))*H118,2)</f>
        <v>221.14</v>
      </c>
    </row>
    <row r="119" customFormat="false" ht="30.75" hidden="false" customHeight="true" outlineLevel="0" collapsed="false">
      <c r="A119" s="17"/>
      <c r="B119" s="67" t="s">
        <v>200</v>
      </c>
      <c r="C119" s="67"/>
      <c r="D119" s="67"/>
      <c r="E119" s="67"/>
      <c r="F119" s="67"/>
      <c r="G119" s="67"/>
      <c r="H119" s="121" t="n">
        <v>0.0065</v>
      </c>
      <c r="I119" s="273" t="n">
        <f aca="false">ROUND(($I$115/(1-H125))*H119,2)</f>
        <v>47.91</v>
      </c>
      <c r="K119" s="66"/>
    </row>
    <row r="120" customFormat="false" ht="29.25" hidden="false" customHeight="true" outlineLevel="0" collapsed="false">
      <c r="A120" s="17"/>
      <c r="B120" s="122" t="s">
        <v>124</v>
      </c>
      <c r="C120" s="122"/>
      <c r="D120" s="122"/>
      <c r="E120" s="122"/>
      <c r="F120" s="122"/>
      <c r="G120" s="122"/>
      <c r="H120" s="121" t="s">
        <v>198</v>
      </c>
      <c r="I120" s="290" t="s">
        <v>198</v>
      </c>
      <c r="K120" s="66"/>
    </row>
    <row r="121" customFormat="false" ht="15.75" hidden="false" customHeight="false" outlineLevel="0" collapsed="false">
      <c r="A121" s="17"/>
      <c r="B121" s="83" t="s">
        <v>125</v>
      </c>
      <c r="C121" s="83"/>
      <c r="D121" s="83"/>
      <c r="E121" s="83"/>
      <c r="F121" s="83"/>
      <c r="G121" s="83"/>
      <c r="H121" s="119" t="s">
        <v>198</v>
      </c>
      <c r="I121" s="290" t="s">
        <v>198</v>
      </c>
    </row>
    <row r="122" customFormat="false" ht="15.75" hidden="false" customHeight="false" outlineLevel="0" collapsed="false">
      <c r="A122" s="17"/>
      <c r="B122" s="83" t="s">
        <v>126</v>
      </c>
      <c r="C122" s="83"/>
      <c r="D122" s="83"/>
      <c r="E122" s="83"/>
      <c r="F122" s="83"/>
      <c r="G122" s="83"/>
      <c r="H122" s="119" t="s">
        <v>198</v>
      </c>
      <c r="I122" s="290" t="s">
        <v>198</v>
      </c>
      <c r="K122" s="66"/>
    </row>
    <row r="123" customFormat="false" ht="15.75" hidden="false" customHeight="false" outlineLevel="0" collapsed="false">
      <c r="A123" s="17"/>
      <c r="B123" s="52" t="s">
        <v>268</v>
      </c>
      <c r="C123" s="52"/>
      <c r="D123" s="52"/>
      <c r="E123" s="52"/>
      <c r="F123" s="52"/>
      <c r="G123" s="52"/>
      <c r="H123" s="124" t="n">
        <v>0.03</v>
      </c>
      <c r="I123" s="273" t="n">
        <f aca="false">ROUND(($I$115/(1-H125))*H123,2)</f>
        <v>221.14</v>
      </c>
    </row>
    <row r="124" customFormat="false" ht="15.75" hidden="false" customHeight="false" outlineLevel="0" collapsed="false">
      <c r="A124" s="125" t="s">
        <v>76</v>
      </c>
      <c r="B124" s="125"/>
      <c r="C124" s="125"/>
      <c r="D124" s="125"/>
      <c r="E124" s="125"/>
      <c r="F124" s="125"/>
      <c r="G124" s="125"/>
      <c r="H124" s="125"/>
      <c r="I124" s="291" t="n">
        <f aca="false">I112+I114+I118+I119+I123</f>
        <v>1695.58</v>
      </c>
    </row>
    <row r="125" customFormat="false" ht="15.75" hidden="false" customHeight="false" outlineLevel="0" collapsed="false">
      <c r="A125" s="127" t="s">
        <v>128</v>
      </c>
      <c r="B125" s="127"/>
      <c r="C125" s="127"/>
      <c r="D125" s="127"/>
      <c r="E125" s="127"/>
      <c r="F125" s="127"/>
      <c r="G125" s="127"/>
      <c r="H125" s="128" t="n">
        <f aca="false">SUM(H118:H123)</f>
        <v>0.0665</v>
      </c>
      <c r="I125" s="292" t="n">
        <f aca="false">SUM(I118+I119+I123)</f>
        <v>490.19</v>
      </c>
    </row>
    <row r="126" customFormat="false" ht="15.75" hidden="false" customHeight="false" outlineLevel="0" collapsed="false">
      <c r="A126" s="130" t="s">
        <v>129</v>
      </c>
      <c r="B126" s="130"/>
      <c r="C126" s="293" t="s">
        <v>130</v>
      </c>
      <c r="D126" s="293"/>
      <c r="E126" s="293"/>
      <c r="F126" s="293"/>
      <c r="G126" s="293"/>
      <c r="H126" s="293"/>
      <c r="I126" s="293"/>
    </row>
    <row r="127" customFormat="false" ht="15" hidden="false" customHeight="false" outlineLevel="0" collapsed="false">
      <c r="A127" s="130"/>
      <c r="B127" s="130"/>
      <c r="C127" s="294" t="s">
        <v>131</v>
      </c>
      <c r="D127" s="294"/>
      <c r="E127" s="294"/>
      <c r="F127" s="294"/>
      <c r="G127" s="294"/>
      <c r="H127" s="294"/>
      <c r="I127" s="294"/>
    </row>
    <row r="128" customFormat="false" ht="15.75" hidden="false" customHeight="false" outlineLevel="0" collapsed="false">
      <c r="A128" s="133" t="s">
        <v>132</v>
      </c>
      <c r="B128" s="133"/>
      <c r="C128" s="133"/>
      <c r="D128" s="133"/>
      <c r="E128" s="133"/>
      <c r="F128" s="133"/>
      <c r="G128" s="133"/>
      <c r="H128" s="133"/>
      <c r="I128" s="133"/>
    </row>
    <row r="129" customFormat="false" ht="15.75" hidden="false" customHeight="false" outlineLevel="0" collapsed="false">
      <c r="A129" s="94" t="s">
        <v>133</v>
      </c>
      <c r="B129" s="94"/>
      <c r="C129" s="94"/>
      <c r="D129" s="94"/>
      <c r="E129" s="94"/>
      <c r="F129" s="94"/>
      <c r="G129" s="94"/>
      <c r="H129" s="94"/>
      <c r="I129" s="94"/>
    </row>
    <row r="130" customFormat="false" ht="15.75" hidden="false" customHeight="false" outlineLevel="0" collapsed="false">
      <c r="A130" s="295"/>
      <c r="B130" s="295"/>
      <c r="C130" s="295"/>
      <c r="D130" s="295"/>
      <c r="E130" s="295"/>
      <c r="F130" s="295"/>
      <c r="G130" s="295"/>
      <c r="H130" s="295"/>
      <c r="I130" s="295"/>
    </row>
    <row r="131" customFormat="false" ht="15.75" hidden="false" customHeight="false" outlineLevel="0" collapsed="false">
      <c r="A131" s="33" t="s">
        <v>134</v>
      </c>
      <c r="B131" s="33"/>
      <c r="C131" s="33"/>
      <c r="D131" s="33"/>
      <c r="E131" s="33"/>
      <c r="F131" s="33"/>
      <c r="G131" s="33"/>
      <c r="H131" s="33"/>
      <c r="I131" s="33"/>
    </row>
    <row r="132" customFormat="false" ht="15.75" hidden="false" customHeight="false" outlineLevel="0" collapsed="false">
      <c r="A132" s="135" t="s">
        <v>135</v>
      </c>
      <c r="B132" s="135"/>
      <c r="C132" s="135"/>
      <c r="D132" s="135"/>
      <c r="E132" s="135"/>
      <c r="F132" s="135"/>
      <c r="G132" s="135"/>
      <c r="H132" s="135"/>
      <c r="I132" s="135"/>
    </row>
    <row r="133" customFormat="false" ht="15.75" hidden="false" customHeight="false" outlineLevel="0" collapsed="false">
      <c r="A133" s="136" t="s">
        <v>136</v>
      </c>
      <c r="B133" s="136"/>
      <c r="C133" s="136"/>
      <c r="D133" s="136"/>
      <c r="E133" s="136"/>
      <c r="F133" s="136"/>
      <c r="G133" s="136"/>
      <c r="H133" s="136"/>
      <c r="I133" s="296" t="s">
        <v>35</v>
      </c>
    </row>
    <row r="134" customFormat="false" ht="15.75" hidden="false" customHeight="false" outlineLevel="0" collapsed="false">
      <c r="A134" s="14" t="s">
        <v>8</v>
      </c>
      <c r="B134" s="15" t="s">
        <v>137</v>
      </c>
      <c r="C134" s="15"/>
      <c r="D134" s="15"/>
      <c r="E134" s="15"/>
      <c r="F134" s="15"/>
      <c r="G134" s="15"/>
      <c r="H134" s="15"/>
      <c r="I134" s="297" t="n">
        <f aca="false">I42</f>
        <v>2887.756</v>
      </c>
    </row>
    <row r="135" customFormat="false" ht="15.75" hidden="false" customHeight="false" outlineLevel="0" collapsed="false">
      <c r="A135" s="14" t="s">
        <v>10</v>
      </c>
      <c r="B135" s="15" t="s">
        <v>138</v>
      </c>
      <c r="C135" s="15"/>
      <c r="D135" s="15"/>
      <c r="E135" s="15"/>
      <c r="F135" s="15"/>
      <c r="G135" s="15"/>
      <c r="H135" s="15"/>
      <c r="I135" s="297" t="n">
        <f aca="false">I51</f>
        <v>715.84</v>
      </c>
    </row>
    <row r="136" customFormat="false" ht="15.75" hidden="false" customHeight="false" outlineLevel="0" collapsed="false">
      <c r="A136" s="14" t="s">
        <v>12</v>
      </c>
      <c r="B136" s="15" t="s">
        <v>139</v>
      </c>
      <c r="C136" s="15"/>
      <c r="D136" s="15"/>
      <c r="E136" s="15"/>
      <c r="F136" s="15"/>
      <c r="G136" s="15"/>
      <c r="H136" s="15"/>
      <c r="I136" s="298" t="n">
        <f aca="false">I56</f>
        <v>137.67625</v>
      </c>
    </row>
    <row r="137" customFormat="false" ht="15.75" hidden="false" customHeight="false" outlineLevel="0" collapsed="false">
      <c r="A137" s="14" t="s">
        <v>14</v>
      </c>
      <c r="B137" s="15" t="s">
        <v>109</v>
      </c>
      <c r="C137" s="15"/>
      <c r="D137" s="15"/>
      <c r="E137" s="15"/>
      <c r="F137" s="15"/>
      <c r="G137" s="15"/>
      <c r="H137" s="15"/>
      <c r="I137" s="297" t="n">
        <f aca="false">I108</f>
        <v>1934.56</v>
      </c>
    </row>
    <row r="138" customFormat="false" ht="15.75" hidden="false" customHeight="false" outlineLevel="0" collapsed="false">
      <c r="A138" s="140" t="s">
        <v>140</v>
      </c>
      <c r="B138" s="140"/>
      <c r="C138" s="140"/>
      <c r="D138" s="140"/>
      <c r="E138" s="140"/>
      <c r="F138" s="140"/>
      <c r="G138" s="140"/>
      <c r="H138" s="140"/>
      <c r="I138" s="299" t="n">
        <f aca="false">SUM(I134:I137)</f>
        <v>5675.83225</v>
      </c>
    </row>
    <row r="139" customFormat="false" ht="15.75" hidden="false" customHeight="false" outlineLevel="0" collapsed="false">
      <c r="A139" s="14" t="s">
        <v>40</v>
      </c>
      <c r="B139" s="15" t="s">
        <v>141</v>
      </c>
      <c r="C139" s="15"/>
      <c r="D139" s="15"/>
      <c r="E139" s="15"/>
      <c r="F139" s="15"/>
      <c r="G139" s="15"/>
      <c r="H139" s="15"/>
      <c r="I139" s="297" t="n">
        <f aca="false">I124</f>
        <v>1695.58</v>
      </c>
    </row>
    <row r="140" customFormat="false" ht="15.75" hidden="false" customHeight="false" outlineLevel="0" collapsed="false">
      <c r="A140" s="143" t="s">
        <v>142</v>
      </c>
      <c r="B140" s="143"/>
      <c r="C140" s="143"/>
      <c r="D140" s="143"/>
      <c r="E140" s="143"/>
      <c r="F140" s="143"/>
      <c r="G140" s="143"/>
      <c r="H140" s="143"/>
      <c r="I140" s="300" t="n">
        <f aca="false">SUM(I138+I139)</f>
        <v>7371.41225</v>
      </c>
    </row>
    <row r="141" customFormat="false" ht="15.75" hidden="false" customHeight="false" outlineLevel="0" collapsed="false">
      <c r="A141" s="301"/>
      <c r="B141" s="301"/>
      <c r="C141" s="301"/>
      <c r="D141" s="301"/>
      <c r="E141" s="301"/>
      <c r="F141" s="301"/>
      <c r="G141" s="301"/>
      <c r="H141" s="301"/>
      <c r="I141" s="301"/>
    </row>
    <row r="142" customFormat="false" ht="15.75" hidden="false" customHeight="false" outlineLevel="0" collapsed="false">
      <c r="A142" s="33" t="s">
        <v>143</v>
      </c>
      <c r="B142" s="33"/>
      <c r="C142" s="33"/>
      <c r="D142" s="33"/>
      <c r="E142" s="33"/>
      <c r="F142" s="33"/>
      <c r="G142" s="33"/>
      <c r="H142" s="33"/>
      <c r="I142" s="33"/>
    </row>
    <row r="143" customFormat="false" ht="15.75" hidden="false" customHeight="false" outlineLevel="0" collapsed="false">
      <c r="A143" s="146" t="s">
        <v>144</v>
      </c>
      <c r="B143" s="146"/>
      <c r="C143" s="146"/>
      <c r="D143" s="146"/>
      <c r="E143" s="146"/>
      <c r="F143" s="146"/>
      <c r="G143" s="146"/>
      <c r="H143" s="146"/>
      <c r="I143" s="146"/>
    </row>
    <row r="144" customFormat="false" ht="63" hidden="false" customHeight="true" outlineLevel="0" collapsed="false">
      <c r="A144" s="64" t="s">
        <v>145</v>
      </c>
      <c r="B144" s="64"/>
      <c r="C144" s="245" t="s">
        <v>146</v>
      </c>
      <c r="D144" s="245"/>
      <c r="E144" s="246" t="s">
        <v>147</v>
      </c>
      <c r="F144" s="245" t="s">
        <v>148</v>
      </c>
      <c r="G144" s="245"/>
      <c r="H144" s="245" t="s">
        <v>149</v>
      </c>
      <c r="I144" s="302" t="s">
        <v>150</v>
      </c>
    </row>
    <row r="145" customFormat="false" ht="16.5" hidden="false" customHeight="true" outlineLevel="0" collapsed="false">
      <c r="A145" s="248" t="s">
        <v>26</v>
      </c>
      <c r="B145" s="248"/>
      <c r="C145" s="249" t="n">
        <f aca="false">I140</f>
        <v>7371.41225</v>
      </c>
      <c r="D145" s="249"/>
      <c r="E145" s="250" t="n">
        <v>2</v>
      </c>
      <c r="F145" s="251" t="n">
        <f aca="false">C145</f>
        <v>7371.41225</v>
      </c>
      <c r="G145" s="251"/>
      <c r="H145" s="252" t="n">
        <v>1</v>
      </c>
      <c r="I145" s="303" t="n">
        <f aca="false">F145*H145</f>
        <v>7371.41225</v>
      </c>
    </row>
    <row r="146" customFormat="false" ht="15.75" hidden="false" customHeight="false" outlineLevel="0" collapsed="false">
      <c r="A146" s="301"/>
      <c r="B146" s="301"/>
      <c r="C146" s="301"/>
      <c r="D146" s="301"/>
      <c r="E146" s="301"/>
      <c r="F146" s="301"/>
      <c r="G146" s="301"/>
      <c r="H146" s="301"/>
      <c r="I146" s="301"/>
    </row>
    <row r="147" customFormat="false" ht="15.75" hidden="false" customHeight="false" outlineLevel="0" collapsed="false">
      <c r="A147" s="33" t="s">
        <v>151</v>
      </c>
      <c r="B147" s="33"/>
      <c r="C147" s="33"/>
      <c r="D147" s="33"/>
      <c r="E147" s="33"/>
      <c r="F147" s="33"/>
      <c r="G147" s="33"/>
      <c r="H147" s="33"/>
      <c r="I147" s="33"/>
    </row>
    <row r="148" customFormat="false" ht="15.75" hidden="false" customHeight="false" outlineLevel="0" collapsed="false">
      <c r="A148" s="146" t="s">
        <v>152</v>
      </c>
      <c r="B148" s="146"/>
      <c r="C148" s="146"/>
      <c r="D148" s="146"/>
      <c r="E148" s="146"/>
      <c r="F148" s="146"/>
      <c r="G148" s="146"/>
      <c r="H148" s="146"/>
      <c r="I148" s="146"/>
    </row>
    <row r="149" customFormat="false" ht="15.75" hidden="false" customHeight="false" outlineLevel="0" collapsed="false">
      <c r="A149" s="157" t="s">
        <v>153</v>
      </c>
      <c r="B149" s="157"/>
      <c r="C149" s="157"/>
      <c r="D149" s="157"/>
      <c r="E149" s="157"/>
      <c r="F149" s="157"/>
      <c r="G149" s="157"/>
      <c r="H149" s="157"/>
      <c r="I149" s="157"/>
    </row>
    <row r="150" customFormat="false" ht="15.75" hidden="false" customHeight="false" outlineLevel="0" collapsed="false">
      <c r="A150" s="158" t="s">
        <v>8</v>
      </c>
      <c r="B150" s="15" t="s">
        <v>154</v>
      </c>
      <c r="C150" s="15"/>
      <c r="D150" s="15"/>
      <c r="E150" s="15"/>
      <c r="F150" s="15"/>
      <c r="G150" s="15"/>
      <c r="H150" s="15"/>
      <c r="I150" s="304" t="n">
        <f aca="false">F145</f>
        <v>7371.41225</v>
      </c>
    </row>
    <row r="151" customFormat="false" ht="15.75" hidden="false" customHeight="false" outlineLevel="0" collapsed="false">
      <c r="A151" s="158" t="s">
        <v>10</v>
      </c>
      <c r="B151" s="15" t="s">
        <v>155</v>
      </c>
      <c r="C151" s="15"/>
      <c r="D151" s="15"/>
      <c r="E151" s="15"/>
      <c r="F151" s="15"/>
      <c r="G151" s="15"/>
      <c r="H151" s="15"/>
      <c r="I151" s="305" t="n">
        <f aca="false">I145</f>
        <v>7371.41225</v>
      </c>
    </row>
    <row r="152" customFormat="false" ht="16.5" hidden="false" customHeight="true" outlineLevel="0" collapsed="false">
      <c r="A152" s="161" t="s">
        <v>12</v>
      </c>
      <c r="B152" s="162" t="s">
        <v>156</v>
      </c>
      <c r="C152" s="162"/>
      <c r="D152" s="162"/>
      <c r="E152" s="162"/>
      <c r="F152" s="162"/>
      <c r="G152" s="162"/>
      <c r="H152" s="162"/>
      <c r="I152" s="306" t="n">
        <f aca="false">I151*12</f>
        <v>88456.947</v>
      </c>
    </row>
  </sheetData>
  <mergeCells count="157">
    <mergeCell ref="A8:I8"/>
    <mergeCell ref="A9:I9"/>
    <mergeCell ref="A10:I10"/>
    <mergeCell ref="A11:I11"/>
    <mergeCell ref="A12:I12"/>
    <mergeCell ref="A13:I13"/>
    <mergeCell ref="A14:I14"/>
    <mergeCell ref="B15:H15"/>
    <mergeCell ref="B16:H16"/>
    <mergeCell ref="B17:H17"/>
    <mergeCell ref="B18:H18"/>
    <mergeCell ref="A19:I19"/>
    <mergeCell ref="A20:D20"/>
    <mergeCell ref="E20:F20"/>
    <mergeCell ref="G20:I20"/>
    <mergeCell ref="A21:D21"/>
    <mergeCell ref="E21:F22"/>
    <mergeCell ref="G21:I22"/>
    <mergeCell ref="A22:D22"/>
    <mergeCell ref="B23:I23"/>
    <mergeCell ref="A24:I24"/>
    <mergeCell ref="A25:I25"/>
    <mergeCell ref="A26:I26"/>
    <mergeCell ref="B27:H27"/>
    <mergeCell ref="B28:H28"/>
    <mergeCell ref="B29:H29"/>
    <mergeCell ref="B30:H30"/>
    <mergeCell ref="B31:H31"/>
    <mergeCell ref="B32:H32"/>
    <mergeCell ref="B33:H33"/>
    <mergeCell ref="A34:I34"/>
    <mergeCell ref="A35:I35"/>
    <mergeCell ref="B36:H36"/>
    <mergeCell ref="B37:H37"/>
    <mergeCell ref="B38:H38"/>
    <mergeCell ref="B39:H39"/>
    <mergeCell ref="B40:H40"/>
    <mergeCell ref="B41:H41"/>
    <mergeCell ref="A42:H42"/>
    <mergeCell ref="A43:I43"/>
    <mergeCell ref="B44:H44"/>
    <mergeCell ref="A45:A47"/>
    <mergeCell ref="B45:H45"/>
    <mergeCell ref="B46:G46"/>
    <mergeCell ref="B47:G47"/>
    <mergeCell ref="A48:A49"/>
    <mergeCell ref="B48:H48"/>
    <mergeCell ref="B49:G49"/>
    <mergeCell ref="B50:H50"/>
    <mergeCell ref="A51:H51"/>
    <mergeCell ref="A52:I52"/>
    <mergeCell ref="A53:I53"/>
    <mergeCell ref="B54:H54"/>
    <mergeCell ref="B55:H55"/>
    <mergeCell ref="A56:H56"/>
    <mergeCell ref="A57:I57"/>
    <mergeCell ref="A58:I58"/>
    <mergeCell ref="B59:G59"/>
    <mergeCell ref="B60:G60"/>
    <mergeCell ref="B61:G61"/>
    <mergeCell ref="B62:G62"/>
    <mergeCell ref="B63:G63"/>
    <mergeCell ref="B64:G64"/>
    <mergeCell ref="B65:G65"/>
    <mergeCell ref="B66:E66"/>
    <mergeCell ref="B67:G67"/>
    <mergeCell ref="A68:G68"/>
    <mergeCell ref="A69:I69"/>
    <mergeCell ref="A70:I70"/>
    <mergeCell ref="A71:I71"/>
    <mergeCell ref="B72:H72"/>
    <mergeCell ref="B73:H73"/>
    <mergeCell ref="A74:H74"/>
    <mergeCell ref="B75:H75"/>
    <mergeCell ref="A76:H76"/>
    <mergeCell ref="A77:I77"/>
    <mergeCell ref="B78:H78"/>
    <mergeCell ref="B79:H79"/>
    <mergeCell ref="B80:H80"/>
    <mergeCell ref="A81:H81"/>
    <mergeCell ref="A82:I82"/>
    <mergeCell ref="B83:H83"/>
    <mergeCell ref="B84:H84"/>
    <mergeCell ref="B85:H85"/>
    <mergeCell ref="B86:H86"/>
    <mergeCell ref="B87:H87"/>
    <mergeCell ref="B88:H88"/>
    <mergeCell ref="B89:H89"/>
    <mergeCell ref="A90:H90"/>
    <mergeCell ref="A91:I91"/>
    <mergeCell ref="B92:H92"/>
    <mergeCell ref="B93:H93"/>
    <mergeCell ref="B94:H94"/>
    <mergeCell ref="B95:H95"/>
    <mergeCell ref="B96:H96"/>
    <mergeCell ref="B97:H97"/>
    <mergeCell ref="A98:H98"/>
    <mergeCell ref="B99:H99"/>
    <mergeCell ref="A100:H100"/>
    <mergeCell ref="A101:I101"/>
    <mergeCell ref="B102:H102"/>
    <mergeCell ref="B103:H103"/>
    <mergeCell ref="B104:H104"/>
    <mergeCell ref="B105:H105"/>
    <mergeCell ref="B106:H106"/>
    <mergeCell ref="B107:H107"/>
    <mergeCell ref="A108:H108"/>
    <mergeCell ref="A109:I109"/>
    <mergeCell ref="B110:G110"/>
    <mergeCell ref="A111:G111"/>
    <mergeCell ref="B112:G112"/>
    <mergeCell ref="A113:G113"/>
    <mergeCell ref="B114:G114"/>
    <mergeCell ref="A115:G115"/>
    <mergeCell ref="A116:A123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A124:H124"/>
    <mergeCell ref="A125:G125"/>
    <mergeCell ref="A126:B127"/>
    <mergeCell ref="C126:I126"/>
    <mergeCell ref="C127:I127"/>
    <mergeCell ref="A128:I128"/>
    <mergeCell ref="A129:I129"/>
    <mergeCell ref="A130:I130"/>
    <mergeCell ref="A131:I131"/>
    <mergeCell ref="A132:I132"/>
    <mergeCell ref="A133:H133"/>
    <mergeCell ref="B134:H134"/>
    <mergeCell ref="B135:H135"/>
    <mergeCell ref="B136:H136"/>
    <mergeCell ref="B137:H137"/>
    <mergeCell ref="A138:H138"/>
    <mergeCell ref="B139:H139"/>
    <mergeCell ref="A140:H140"/>
    <mergeCell ref="A141:I141"/>
    <mergeCell ref="A142:I142"/>
    <mergeCell ref="A143:I143"/>
    <mergeCell ref="A144:B144"/>
    <mergeCell ref="C144:D144"/>
    <mergeCell ref="F144:G144"/>
    <mergeCell ref="A145:B145"/>
    <mergeCell ref="C145:D145"/>
    <mergeCell ref="F145:G145"/>
    <mergeCell ref="A146:I146"/>
    <mergeCell ref="A147:I147"/>
    <mergeCell ref="A148:I148"/>
    <mergeCell ref="A149:I149"/>
    <mergeCell ref="B150:H150"/>
    <mergeCell ref="B151:H151"/>
    <mergeCell ref="B152:H152"/>
  </mergeCells>
  <printOptions headings="false" gridLines="false" gridLinesSet="true" horizontalCentered="false" verticalCentered="false"/>
  <pageMargins left="0.698611111111111" right="0.698611111111111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6" man="true" max="16383" min="0"/>
    <brk id="108" man="true" max="16383" min="0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tabColor rgb="FFFDEADA"/>
    <pageSetUpPr fitToPage="false"/>
  </sheetPr>
  <dimension ref="A1:N151"/>
  <sheetViews>
    <sheetView showFormulas="false" showGridLines="true" showRowColHeaders="true" showZeros="true" rightToLeft="false" tabSelected="false" showOutlineSymbols="true" defaultGridColor="true" view="pageBreakPreview" topLeftCell="A121" colorId="64" zoomScale="76" zoomScaleNormal="100" zoomScalePageLayoutView="76" workbookViewId="0">
      <selection pane="topLeft" activeCell="I59" activeCellId="0" sqref="I59"/>
    </sheetView>
  </sheetViews>
  <sheetFormatPr defaultRowHeight="15" zeroHeight="false" outlineLevelRow="0" outlineLevelCol="0"/>
  <cols>
    <col collapsed="false" customWidth="true" hidden="false" outlineLevel="0" max="1" min="1" style="1" width="17.29"/>
    <col collapsed="false" customWidth="true" hidden="false" outlineLevel="0" max="2" min="2" style="1" width="18.29"/>
    <col collapsed="false" customWidth="true" hidden="false" outlineLevel="0" max="3" min="3" style="1" width="16.57"/>
    <col collapsed="false" customWidth="true" hidden="false" outlineLevel="0" max="4" min="4" style="1" width="16"/>
    <col collapsed="false" customWidth="true" hidden="false" outlineLevel="0" max="5" min="5" style="1" width="21.14"/>
    <col collapsed="false" customWidth="true" hidden="false" outlineLevel="0" max="6" min="6" style="1" width="20.71"/>
    <col collapsed="false" customWidth="true" hidden="false" outlineLevel="0" max="7" min="7" style="1" width="19"/>
    <col collapsed="false" customWidth="true" hidden="false" outlineLevel="0" max="8" min="8" style="1" width="22.43"/>
    <col collapsed="false" customWidth="true" hidden="false" outlineLevel="0" max="9" min="9" style="1" width="48.57"/>
    <col collapsed="false" customWidth="true" hidden="true" outlineLevel="0" max="11" min="10" style="1" width="9"/>
    <col collapsed="false" customWidth="true" hidden="false" outlineLevel="0" max="12" min="12" style="1" width="58.57"/>
    <col collapsed="false" customWidth="true" hidden="false" outlineLevel="0" max="1025" min="13" style="1" width="28.57"/>
  </cols>
  <sheetData>
    <row r="1" s="101" customFormat="true" ht="15.75" hidden="false" customHeight="false" outlineLevel="0" collapsed="false">
      <c r="A1" s="173" t="s">
        <v>178</v>
      </c>
      <c r="I1" s="261"/>
    </row>
    <row r="2" s="101" customFormat="true" ht="15.75" hidden="false" customHeight="false" outlineLevel="0" collapsed="false">
      <c r="A2" s="173" t="s">
        <v>179</v>
      </c>
      <c r="I2" s="261"/>
    </row>
    <row r="3" s="101" customFormat="true" ht="15.75" hidden="false" customHeight="false" outlineLevel="0" collapsed="false">
      <c r="A3" s="173" t="s">
        <v>180</v>
      </c>
      <c r="I3" s="261"/>
    </row>
    <row r="4" s="101" customFormat="true" ht="15.75" hidden="false" customHeight="false" outlineLevel="0" collapsed="false">
      <c r="A4" s="173" t="s">
        <v>181</v>
      </c>
      <c r="I4" s="261"/>
    </row>
    <row r="5" s="101" customFormat="true" ht="15.75" hidden="false" customHeight="false" outlineLevel="0" collapsed="false">
      <c r="A5" s="173" t="s">
        <v>182</v>
      </c>
      <c r="I5" s="261"/>
    </row>
    <row r="6" s="101" customFormat="true" ht="15.75" hidden="false" customHeight="false" outlineLevel="0" collapsed="false">
      <c r="A6" s="173" t="s">
        <v>183</v>
      </c>
      <c r="I6" s="261"/>
    </row>
    <row r="7" customFormat="false" ht="15.75" hidden="false" customHeight="false" outlineLevel="0" collapsed="false">
      <c r="A7" s="174" t="s">
        <v>184</v>
      </c>
      <c r="I7" s="262"/>
    </row>
    <row r="8" customFormat="false" ht="15.75" hidden="false" customHeight="false" outlineLevel="0" collapsed="false">
      <c r="A8" s="263" t="s">
        <v>1</v>
      </c>
      <c r="B8" s="263"/>
      <c r="C8" s="263"/>
      <c r="D8" s="263"/>
      <c r="E8" s="263"/>
      <c r="F8" s="263"/>
      <c r="G8" s="263"/>
      <c r="H8" s="263"/>
      <c r="I8" s="263"/>
    </row>
    <row r="9" customFormat="false" ht="15.75" hidden="false" customHeight="false" outlineLevel="0" collapsed="false">
      <c r="A9" s="4" t="s">
        <v>2</v>
      </c>
      <c r="B9" s="4"/>
      <c r="C9" s="4"/>
      <c r="D9" s="4"/>
      <c r="E9" s="4"/>
      <c r="F9" s="4"/>
      <c r="G9" s="4"/>
      <c r="H9" s="4"/>
      <c r="I9" s="4"/>
    </row>
    <row r="10" customFormat="false" ht="15.75" hidden="false" customHeight="false" outlineLevel="0" collapsed="false">
      <c r="A10" s="5" t="s">
        <v>3</v>
      </c>
      <c r="B10" s="5"/>
      <c r="C10" s="5"/>
      <c r="D10" s="5"/>
      <c r="E10" s="5"/>
      <c r="F10" s="5"/>
      <c r="G10" s="5"/>
      <c r="H10" s="5"/>
      <c r="I10" s="5"/>
    </row>
    <row r="11" customFormat="false" ht="15.75" hidden="false" customHeight="false" outlineLevel="0" collapsed="false">
      <c r="A11" s="6" t="s">
        <v>4</v>
      </c>
      <c r="B11" s="6"/>
      <c r="C11" s="6"/>
      <c r="D11" s="6"/>
      <c r="E11" s="6"/>
      <c r="F11" s="6"/>
      <c r="G11" s="6"/>
      <c r="H11" s="6"/>
      <c r="I11" s="6"/>
    </row>
    <row r="12" customFormat="false" ht="15.75" hidden="false" customHeight="false" outlineLevel="0" collapsed="false">
      <c r="A12" s="7" t="s">
        <v>5</v>
      </c>
      <c r="B12" s="7"/>
      <c r="C12" s="7"/>
      <c r="D12" s="7"/>
      <c r="E12" s="7"/>
      <c r="F12" s="7"/>
      <c r="G12" s="7"/>
      <c r="H12" s="7"/>
      <c r="I12" s="7"/>
    </row>
    <row r="13" customFormat="false" ht="15.75" hidden="false" customHeight="false" outlineLevel="0" collapsed="false">
      <c r="A13" s="8" t="s">
        <v>6</v>
      </c>
      <c r="B13" s="8"/>
      <c r="C13" s="8"/>
      <c r="D13" s="8"/>
      <c r="E13" s="8"/>
      <c r="F13" s="8"/>
      <c r="G13" s="8"/>
      <c r="H13" s="8"/>
      <c r="I13" s="8"/>
    </row>
    <row r="14" customFormat="false" ht="15.75" hidden="false" customHeight="false" outlineLevel="0" collapsed="false">
      <c r="A14" s="179" t="s">
        <v>7</v>
      </c>
      <c r="B14" s="179"/>
      <c r="C14" s="179"/>
      <c r="D14" s="179"/>
      <c r="E14" s="179"/>
      <c r="F14" s="179"/>
      <c r="G14" s="179"/>
      <c r="H14" s="179"/>
      <c r="I14" s="179"/>
    </row>
    <row r="15" customFormat="false" ht="18.75" hidden="false" customHeight="true" outlineLevel="0" collapsed="false">
      <c r="A15" s="10" t="s">
        <v>8</v>
      </c>
      <c r="B15" s="11" t="s">
        <v>9</v>
      </c>
      <c r="C15" s="11"/>
      <c r="D15" s="11"/>
      <c r="E15" s="11"/>
      <c r="F15" s="11"/>
      <c r="G15" s="11"/>
      <c r="H15" s="11"/>
      <c r="I15" s="264"/>
      <c r="L15" s="13"/>
    </row>
    <row r="16" customFormat="false" ht="15.75" hidden="false" customHeight="false" outlineLevel="0" collapsed="false">
      <c r="A16" s="14" t="s">
        <v>10</v>
      </c>
      <c r="B16" s="15" t="s">
        <v>11</v>
      </c>
      <c r="C16" s="15"/>
      <c r="D16" s="15"/>
      <c r="E16" s="15"/>
      <c r="F16" s="15"/>
      <c r="G16" s="15"/>
      <c r="H16" s="15"/>
      <c r="I16" s="265" t="s">
        <v>269</v>
      </c>
      <c r="L16" s="13"/>
    </row>
    <row r="17" customFormat="false" ht="47.25" hidden="false" customHeight="true" outlineLevel="0" collapsed="false">
      <c r="A17" s="17" t="s">
        <v>12</v>
      </c>
      <c r="B17" s="67" t="s">
        <v>13</v>
      </c>
      <c r="C17" s="67"/>
      <c r="D17" s="67"/>
      <c r="E17" s="67"/>
      <c r="F17" s="67"/>
      <c r="G17" s="67"/>
      <c r="H17" s="67"/>
      <c r="I17" s="266" t="s">
        <v>186</v>
      </c>
      <c r="L17" s="13"/>
    </row>
    <row r="18" customFormat="false" ht="15.75" hidden="false" customHeight="false" outlineLevel="0" collapsed="false">
      <c r="A18" s="20" t="s">
        <v>14</v>
      </c>
      <c r="B18" s="21" t="s">
        <v>15</v>
      </c>
      <c r="C18" s="21"/>
      <c r="D18" s="21"/>
      <c r="E18" s="21"/>
      <c r="F18" s="21"/>
      <c r="G18" s="21"/>
      <c r="H18" s="21"/>
      <c r="I18" s="267" t="n">
        <v>12</v>
      </c>
    </row>
    <row r="19" customFormat="false" ht="15.75" hidden="false" customHeight="false" outlineLevel="0" collapsed="false">
      <c r="A19" s="179" t="s">
        <v>16</v>
      </c>
      <c r="B19" s="179"/>
      <c r="C19" s="179"/>
      <c r="D19" s="179"/>
      <c r="E19" s="179"/>
      <c r="F19" s="179"/>
      <c r="G19" s="179"/>
      <c r="H19" s="179"/>
      <c r="I19" s="179"/>
    </row>
    <row r="20" customFormat="false" ht="15.75" hidden="false" customHeight="false" outlineLevel="0" collapsed="false">
      <c r="A20" s="23" t="s">
        <v>17</v>
      </c>
      <c r="B20" s="23"/>
      <c r="C20" s="23"/>
      <c r="D20" s="23"/>
      <c r="E20" s="24" t="s">
        <v>18</v>
      </c>
      <c r="F20" s="24"/>
      <c r="G20" s="25" t="s">
        <v>19</v>
      </c>
      <c r="H20" s="25"/>
      <c r="I20" s="25"/>
    </row>
    <row r="21" customFormat="false" ht="15.75" hidden="false" customHeight="true" outlineLevel="0" collapsed="false">
      <c r="A21" s="26" t="s">
        <v>20</v>
      </c>
      <c r="B21" s="26"/>
      <c r="C21" s="26"/>
      <c r="D21" s="26"/>
      <c r="E21" s="27" t="s">
        <v>21</v>
      </c>
      <c r="F21" s="27"/>
      <c r="G21" s="28" t="n">
        <v>1</v>
      </c>
      <c r="H21" s="28"/>
      <c r="I21" s="28"/>
    </row>
    <row r="22" customFormat="false" ht="32.25" hidden="false" customHeight="true" outlineLevel="0" collapsed="false">
      <c r="A22" s="310" t="s">
        <v>271</v>
      </c>
      <c r="B22" s="310"/>
      <c r="C22" s="310"/>
      <c r="D22" s="310"/>
      <c r="E22" s="27"/>
      <c r="F22" s="27"/>
      <c r="G22" s="28"/>
      <c r="H22" s="28"/>
      <c r="I22" s="28"/>
      <c r="L22" s="30"/>
    </row>
    <row r="23" customFormat="false" ht="15.75" hidden="false" customHeight="false" outlineLevel="0" collapsed="false">
      <c r="A23" s="31"/>
      <c r="B23" s="269"/>
      <c r="C23" s="269"/>
      <c r="D23" s="269"/>
      <c r="E23" s="269"/>
      <c r="F23" s="269"/>
      <c r="G23" s="269"/>
      <c r="H23" s="269"/>
      <c r="I23" s="269"/>
    </row>
    <row r="24" customFormat="false" ht="15.75" hidden="false" customHeight="false" outlineLevel="0" collapsed="false">
      <c r="A24" s="33" t="s">
        <v>22</v>
      </c>
      <c r="B24" s="33"/>
      <c r="C24" s="33"/>
      <c r="D24" s="33"/>
      <c r="E24" s="33"/>
      <c r="F24" s="33"/>
      <c r="G24" s="33"/>
      <c r="H24" s="33"/>
      <c r="I24" s="33"/>
    </row>
    <row r="25" customFormat="false" ht="15.75" hidden="false" customHeight="false" outlineLevel="0" collapsed="false">
      <c r="A25" s="34" t="s">
        <v>23</v>
      </c>
      <c r="B25" s="34"/>
      <c r="C25" s="34"/>
      <c r="D25" s="34"/>
      <c r="E25" s="34"/>
      <c r="F25" s="34"/>
      <c r="G25" s="34"/>
      <c r="H25" s="34"/>
      <c r="I25" s="34"/>
    </row>
    <row r="26" customFormat="false" ht="15.75" hidden="false" customHeight="false" outlineLevel="0" collapsed="false">
      <c r="A26" s="35" t="s">
        <v>24</v>
      </c>
      <c r="B26" s="35"/>
      <c r="C26" s="35"/>
      <c r="D26" s="35"/>
      <c r="E26" s="35"/>
      <c r="F26" s="35"/>
      <c r="G26" s="35"/>
      <c r="H26" s="35"/>
      <c r="I26" s="35"/>
    </row>
    <row r="27" customFormat="false" ht="15.75" hidden="false" customHeight="true" outlineLevel="0" collapsed="false">
      <c r="A27" s="14" t="n">
        <v>1</v>
      </c>
      <c r="B27" s="36" t="s">
        <v>25</v>
      </c>
      <c r="C27" s="36"/>
      <c r="D27" s="36"/>
      <c r="E27" s="36"/>
      <c r="F27" s="36"/>
      <c r="G27" s="36"/>
      <c r="H27" s="36"/>
      <c r="I27" s="266" t="s">
        <v>26</v>
      </c>
    </row>
    <row r="28" customFormat="false" ht="15.75" hidden="false" customHeight="true" outlineLevel="0" collapsed="false">
      <c r="A28" s="14" t="n">
        <v>2</v>
      </c>
      <c r="B28" s="38" t="s">
        <v>27</v>
      </c>
      <c r="C28" s="38"/>
      <c r="D28" s="38"/>
      <c r="E28" s="38"/>
      <c r="F28" s="38"/>
      <c r="G28" s="38"/>
      <c r="H28" s="38"/>
      <c r="I28" s="265" t="n">
        <f aca="false">Dados!B2</f>
        <v>1305.17</v>
      </c>
    </row>
    <row r="29" customFormat="false" ht="15.75" hidden="false" customHeight="true" outlineLevel="0" collapsed="false">
      <c r="A29" s="14" t="n">
        <v>3</v>
      </c>
      <c r="B29" s="38" t="s">
        <v>28</v>
      </c>
      <c r="C29" s="38"/>
      <c r="D29" s="38"/>
      <c r="E29" s="38"/>
      <c r="F29" s="38"/>
      <c r="G29" s="38"/>
      <c r="H29" s="38"/>
      <c r="I29" s="265" t="s">
        <v>188</v>
      </c>
    </row>
    <row r="30" customFormat="false" ht="15.75" hidden="false" customHeight="true" outlineLevel="0" collapsed="false">
      <c r="A30" s="40" t="n">
        <v>4</v>
      </c>
      <c r="B30" s="41" t="s">
        <v>29</v>
      </c>
      <c r="C30" s="41"/>
      <c r="D30" s="41"/>
      <c r="E30" s="41"/>
      <c r="F30" s="41"/>
      <c r="G30" s="41"/>
      <c r="H30" s="41"/>
      <c r="I30" s="270" t="n">
        <v>42005</v>
      </c>
    </row>
    <row r="31" customFormat="false" ht="15.75" hidden="false" customHeight="true" outlineLevel="0" collapsed="false">
      <c r="A31" s="40" t="n">
        <v>5</v>
      </c>
      <c r="B31" s="38" t="s">
        <v>30</v>
      </c>
      <c r="C31" s="38"/>
      <c r="D31" s="38"/>
      <c r="E31" s="38"/>
      <c r="F31" s="38"/>
      <c r="G31" s="38"/>
      <c r="H31" s="38"/>
      <c r="I31" s="270" t="n">
        <f aca="false">I28/220</f>
        <v>5.93259090909091</v>
      </c>
    </row>
    <row r="32" customFormat="false" ht="15.75" hidden="false" customHeight="true" outlineLevel="0" collapsed="false">
      <c r="A32" s="40" t="n">
        <v>6</v>
      </c>
      <c r="B32" s="38" t="s">
        <v>31</v>
      </c>
      <c r="C32" s="38"/>
      <c r="D32" s="38"/>
      <c r="E32" s="38"/>
      <c r="F32" s="38"/>
      <c r="G32" s="38"/>
      <c r="H32" s="38"/>
      <c r="I32" s="270" t="n">
        <f aca="false">I31*1.5</f>
        <v>8.89888636363636</v>
      </c>
    </row>
    <row r="33" customFormat="false" ht="16.5" hidden="false" customHeight="true" outlineLevel="0" collapsed="false">
      <c r="A33" s="20" t="n">
        <v>7</v>
      </c>
      <c r="B33" s="44" t="s">
        <v>32</v>
      </c>
      <c r="C33" s="44"/>
      <c r="D33" s="44"/>
      <c r="E33" s="44"/>
      <c r="F33" s="44"/>
      <c r="G33" s="44"/>
      <c r="H33" s="44"/>
      <c r="I33" s="267" t="n">
        <f aca="false">I31*0.2</f>
        <v>1.18651818181818</v>
      </c>
    </row>
    <row r="34" customFormat="false" ht="15.75" hidden="false" customHeight="false" outlineLevel="0" collapsed="false">
      <c r="A34" s="271"/>
      <c r="B34" s="271"/>
      <c r="C34" s="271"/>
      <c r="D34" s="271"/>
      <c r="E34" s="271"/>
      <c r="F34" s="271"/>
      <c r="G34" s="271"/>
      <c r="H34" s="271"/>
      <c r="I34" s="271"/>
    </row>
    <row r="35" customFormat="false" ht="15.75" hidden="false" customHeight="false" outlineLevel="0" collapsed="false">
      <c r="A35" s="47" t="s">
        <v>33</v>
      </c>
      <c r="B35" s="47"/>
      <c r="C35" s="47"/>
      <c r="D35" s="47"/>
      <c r="E35" s="47"/>
      <c r="F35" s="47"/>
      <c r="G35" s="47"/>
      <c r="H35" s="47"/>
      <c r="I35" s="47"/>
    </row>
    <row r="36" customFormat="false" ht="15.75" hidden="false" customHeight="false" outlineLevel="0" collapsed="false">
      <c r="A36" s="48" t="n">
        <v>1</v>
      </c>
      <c r="B36" s="49" t="s">
        <v>34</v>
      </c>
      <c r="C36" s="49"/>
      <c r="D36" s="49"/>
      <c r="E36" s="49"/>
      <c r="F36" s="49"/>
      <c r="G36" s="49"/>
      <c r="H36" s="49"/>
      <c r="I36" s="272" t="s">
        <v>35</v>
      </c>
      <c r="L36" s="51"/>
    </row>
    <row r="37" customFormat="false" ht="15.75" hidden="false" customHeight="false" outlineLevel="0" collapsed="false">
      <c r="A37" s="17" t="s">
        <v>8</v>
      </c>
      <c r="B37" s="52" t="s">
        <v>210</v>
      </c>
      <c r="C37" s="52"/>
      <c r="D37" s="52"/>
      <c r="E37" s="52"/>
      <c r="F37" s="52"/>
      <c r="G37" s="52"/>
      <c r="H37" s="52"/>
      <c r="I37" s="273" t="n">
        <f aca="false">ROUND(I28*2,2)</f>
        <v>2610.34</v>
      </c>
      <c r="L37" s="51"/>
    </row>
    <row r="38" customFormat="false" ht="46.5" hidden="false" customHeight="true" outlineLevel="0" collapsed="false">
      <c r="A38" s="17" t="s">
        <v>10</v>
      </c>
      <c r="B38" s="54" t="s">
        <v>41</v>
      </c>
      <c r="C38" s="54"/>
      <c r="D38" s="54"/>
      <c r="E38" s="54"/>
      <c r="F38" s="54"/>
      <c r="G38" s="54"/>
      <c r="H38" s="54"/>
      <c r="I38" s="273"/>
      <c r="L38" s="57"/>
    </row>
    <row r="39" customFormat="false" ht="20.25" hidden="false" customHeight="true" outlineLevel="0" collapsed="false">
      <c r="A39" s="17" t="s">
        <v>12</v>
      </c>
      <c r="B39" s="58" t="s">
        <v>43</v>
      </c>
      <c r="C39" s="58"/>
      <c r="D39" s="58"/>
      <c r="E39" s="58"/>
      <c r="F39" s="58"/>
      <c r="G39" s="58"/>
      <c r="H39" s="58"/>
      <c r="I39" s="273" t="n">
        <f aca="false">SUM(I38:I38)*0.2</f>
        <v>0</v>
      </c>
      <c r="K39" s="59"/>
    </row>
    <row r="40" customFormat="false" ht="32.25" hidden="false" customHeight="true" outlineLevel="0" collapsed="false">
      <c r="A40" s="17" t="s">
        <v>14</v>
      </c>
      <c r="B40" s="54" t="s">
        <v>211</v>
      </c>
      <c r="C40" s="54"/>
      <c r="D40" s="54"/>
      <c r="E40" s="54"/>
      <c r="F40" s="54"/>
      <c r="G40" s="54"/>
      <c r="H40" s="54"/>
      <c r="I40" s="337" t="n">
        <f aca="false">ROUND((I31*30*1.2)+(I31*(11/12)*1.2),2)</f>
        <v>220.1</v>
      </c>
      <c r="K40" s="59"/>
    </row>
    <row r="41" customFormat="false" ht="21" hidden="false" customHeight="true" outlineLevel="0" collapsed="false">
      <c r="A41" s="60" t="s">
        <v>44</v>
      </c>
      <c r="B41" s="60"/>
      <c r="C41" s="60"/>
      <c r="D41" s="60"/>
      <c r="E41" s="60"/>
      <c r="F41" s="60"/>
      <c r="G41" s="60"/>
      <c r="H41" s="60"/>
      <c r="I41" s="275" t="n">
        <f aca="false">SUM(I37:I39)</f>
        <v>2610.34</v>
      </c>
    </row>
    <row r="42" customFormat="false" ht="15.75" hidden="false" customHeight="false" outlineLevel="0" collapsed="false">
      <c r="A42" s="47" t="s">
        <v>45</v>
      </c>
      <c r="B42" s="47"/>
      <c r="C42" s="47"/>
      <c r="D42" s="47"/>
      <c r="E42" s="47"/>
      <c r="F42" s="47"/>
      <c r="G42" s="47"/>
      <c r="H42" s="47"/>
      <c r="I42" s="47"/>
    </row>
    <row r="43" customFormat="false" ht="15.75" hidden="false" customHeight="false" outlineLevel="0" collapsed="false">
      <c r="A43" s="62" t="n">
        <v>2</v>
      </c>
      <c r="B43" s="63" t="s">
        <v>46</v>
      </c>
      <c r="C43" s="63"/>
      <c r="D43" s="63"/>
      <c r="E43" s="63"/>
      <c r="F43" s="63"/>
      <c r="G43" s="63"/>
      <c r="H43" s="63"/>
      <c r="I43" s="272" t="s">
        <v>35</v>
      </c>
    </row>
    <row r="44" customFormat="false" ht="30.75" hidden="false" customHeight="true" outlineLevel="0" collapsed="false">
      <c r="A44" s="64" t="s">
        <v>8</v>
      </c>
      <c r="B44" s="54" t="s">
        <v>212</v>
      </c>
      <c r="C44" s="54"/>
      <c r="D44" s="54"/>
      <c r="E44" s="54"/>
      <c r="F44" s="54"/>
      <c r="G44" s="54"/>
      <c r="H44" s="54"/>
      <c r="I44" s="279" t="n">
        <f aca="false">ROUND((2*H46*H45*15)+(H46*H45*30)-(0.06*(I37+I31*30)),2)</f>
        <v>192.7</v>
      </c>
      <c r="L44" s="66"/>
    </row>
    <row r="45" customFormat="false" ht="29.25" hidden="false" customHeight="true" outlineLevel="0" collapsed="false">
      <c r="A45" s="64"/>
      <c r="B45" s="277" t="s">
        <v>265</v>
      </c>
      <c r="C45" s="277"/>
      <c r="D45" s="277"/>
      <c r="E45" s="277"/>
      <c r="F45" s="277"/>
      <c r="G45" s="277"/>
      <c r="H45" s="278" t="n">
        <f aca="false">Dados!B15</f>
        <v>3</v>
      </c>
      <c r="I45" s="279"/>
    </row>
    <row r="46" customFormat="false" ht="15.75" hidden="false" customHeight="false" outlineLevel="0" collapsed="false">
      <c r="A46" s="64"/>
      <c r="B46" s="69" t="s">
        <v>49</v>
      </c>
      <c r="C46" s="69"/>
      <c r="D46" s="69"/>
      <c r="E46" s="69"/>
      <c r="F46" s="69"/>
      <c r="G46" s="69"/>
      <c r="H46" s="70" t="n">
        <v>2</v>
      </c>
      <c r="I46" s="279" t="n">
        <v>0</v>
      </c>
    </row>
    <row r="47" customFormat="false" ht="18.75" hidden="false" customHeight="true" outlineLevel="0" collapsed="false">
      <c r="A47" s="64" t="s">
        <v>10</v>
      </c>
      <c r="B47" s="54" t="s">
        <v>50</v>
      </c>
      <c r="C47" s="54"/>
      <c r="D47" s="54"/>
      <c r="E47" s="54"/>
      <c r="F47" s="54"/>
      <c r="G47" s="54"/>
      <c r="H47" s="54"/>
      <c r="I47" s="279" t="n">
        <f aca="false">ROUND((2*15*H48)*(1-0.18),2)</f>
        <v>411.56</v>
      </c>
    </row>
    <row r="48" customFormat="false" ht="15.75" hidden="false" customHeight="false" outlineLevel="0" collapsed="false">
      <c r="A48" s="64"/>
      <c r="B48" s="69" t="s">
        <v>51</v>
      </c>
      <c r="C48" s="69"/>
      <c r="D48" s="69"/>
      <c r="E48" s="69"/>
      <c r="F48" s="69"/>
      <c r="G48" s="69"/>
      <c r="H48" s="280" t="n">
        <f aca="false">Dados!B3</f>
        <v>16.73</v>
      </c>
      <c r="I48" s="281"/>
    </row>
    <row r="49" customFormat="false" ht="30.75" hidden="false" customHeight="true" outlineLevel="0" collapsed="false">
      <c r="A49" s="17" t="s">
        <v>12</v>
      </c>
      <c r="B49" s="58" t="s">
        <v>214</v>
      </c>
      <c r="C49" s="58"/>
      <c r="D49" s="58"/>
      <c r="E49" s="58"/>
      <c r="F49" s="58"/>
      <c r="G49" s="58"/>
      <c r="H49" s="58"/>
      <c r="I49" s="279" t="n">
        <f aca="false">ROUND(Dados!B5*(2+1),2)</f>
        <v>45.06</v>
      </c>
    </row>
    <row r="50" customFormat="false" ht="20.25" hidden="false" customHeight="true" outlineLevel="0" collapsed="false">
      <c r="A50" s="60" t="s">
        <v>53</v>
      </c>
      <c r="B50" s="60"/>
      <c r="C50" s="60"/>
      <c r="D50" s="60"/>
      <c r="E50" s="60"/>
      <c r="F50" s="60"/>
      <c r="G50" s="60"/>
      <c r="H50" s="60"/>
      <c r="I50" s="275" t="n">
        <f aca="false">SUM(I44:I49)</f>
        <v>649.32</v>
      </c>
    </row>
    <row r="51" customFormat="false" ht="15.75" hidden="false" customHeight="false" outlineLevel="0" collapsed="false">
      <c r="A51" s="73" t="s">
        <v>54</v>
      </c>
      <c r="B51" s="73"/>
      <c r="C51" s="73"/>
      <c r="D51" s="73"/>
      <c r="E51" s="73"/>
      <c r="F51" s="73"/>
      <c r="G51" s="73"/>
      <c r="H51" s="73"/>
      <c r="I51" s="73"/>
    </row>
    <row r="52" customFormat="false" ht="15.75" hidden="false" customHeight="false" outlineLevel="0" collapsed="false">
      <c r="A52" s="47" t="s">
        <v>55</v>
      </c>
      <c r="B52" s="47"/>
      <c r="C52" s="47"/>
      <c r="D52" s="47"/>
      <c r="E52" s="47"/>
      <c r="F52" s="47"/>
      <c r="G52" s="47"/>
      <c r="H52" s="47"/>
      <c r="I52" s="47"/>
    </row>
    <row r="53" customFormat="false" ht="15.75" hidden="false" customHeight="false" outlineLevel="0" collapsed="false">
      <c r="A53" s="62" t="n">
        <v>3</v>
      </c>
      <c r="B53" s="63" t="s">
        <v>56</v>
      </c>
      <c r="C53" s="63"/>
      <c r="D53" s="63"/>
      <c r="E53" s="63"/>
      <c r="F53" s="63"/>
      <c r="G53" s="63"/>
      <c r="H53" s="63"/>
      <c r="I53" s="272" t="s">
        <v>35</v>
      </c>
    </row>
    <row r="54" customFormat="false" ht="15.75" hidden="false" customHeight="false" outlineLevel="0" collapsed="false">
      <c r="A54" s="64" t="s">
        <v>8</v>
      </c>
      <c r="B54" s="74" t="s">
        <v>272</v>
      </c>
      <c r="C54" s="74"/>
      <c r="D54" s="74"/>
      <c r="E54" s="74"/>
      <c r="F54" s="74"/>
      <c r="G54" s="74"/>
      <c r="H54" s="74"/>
      <c r="I54" s="282" t="n">
        <f aca="false">Dados!D6*(2+1)</f>
        <v>206.514375</v>
      </c>
      <c r="J54" s="76"/>
      <c r="K54" s="77"/>
    </row>
    <row r="55" customFormat="false" ht="18.75" hidden="false" customHeight="true" outlineLevel="0" collapsed="false">
      <c r="A55" s="60" t="s">
        <v>58</v>
      </c>
      <c r="B55" s="60"/>
      <c r="C55" s="60"/>
      <c r="D55" s="60"/>
      <c r="E55" s="60"/>
      <c r="F55" s="60"/>
      <c r="G55" s="60"/>
      <c r="H55" s="60"/>
      <c r="I55" s="283" t="n">
        <f aca="false">SUM(I54:I54)</f>
        <v>206.514375</v>
      </c>
    </row>
    <row r="56" customFormat="false" ht="15.75" hidden="false" customHeight="false" outlineLevel="0" collapsed="false">
      <c r="A56" s="47" t="s">
        <v>59</v>
      </c>
      <c r="B56" s="47"/>
      <c r="C56" s="47"/>
      <c r="D56" s="47"/>
      <c r="E56" s="47"/>
      <c r="F56" s="47"/>
      <c r="G56" s="47"/>
      <c r="H56" s="47"/>
      <c r="I56" s="47"/>
    </row>
    <row r="57" customFormat="false" ht="15.75" hidden="false" customHeight="false" outlineLevel="0" collapsed="false">
      <c r="A57" s="79" t="s">
        <v>60</v>
      </c>
      <c r="B57" s="79"/>
      <c r="C57" s="79"/>
      <c r="D57" s="79"/>
      <c r="E57" s="79"/>
      <c r="F57" s="79"/>
      <c r="G57" s="79"/>
      <c r="H57" s="79"/>
      <c r="I57" s="79"/>
    </row>
    <row r="58" customFormat="false" ht="15.75" hidden="false" customHeight="false" outlineLevel="0" collapsed="false">
      <c r="A58" s="62" t="s">
        <v>61</v>
      </c>
      <c r="B58" s="80" t="s">
        <v>62</v>
      </c>
      <c r="C58" s="80"/>
      <c r="D58" s="80"/>
      <c r="E58" s="80"/>
      <c r="F58" s="80"/>
      <c r="G58" s="80"/>
      <c r="H58" s="81" t="s">
        <v>63</v>
      </c>
      <c r="I58" s="272" t="s">
        <v>35</v>
      </c>
    </row>
    <row r="59" customFormat="false" ht="15.75" hidden="false" customHeight="false" outlineLevel="0" collapsed="false">
      <c r="A59" s="82" t="s">
        <v>8</v>
      </c>
      <c r="B59" s="83" t="s">
        <v>64</v>
      </c>
      <c r="C59" s="83"/>
      <c r="D59" s="83"/>
      <c r="E59" s="83"/>
      <c r="F59" s="83"/>
      <c r="G59" s="83"/>
      <c r="H59" s="84" t="n">
        <v>0.2</v>
      </c>
      <c r="I59" s="273" t="n">
        <f aca="false">ROUND($I$41*H59,2)</f>
        <v>522.07</v>
      </c>
      <c r="K59" s="66"/>
    </row>
    <row r="60" customFormat="false" ht="15.75" hidden="false" customHeight="false" outlineLevel="0" collapsed="false">
      <c r="A60" s="82" t="s">
        <v>10</v>
      </c>
      <c r="B60" s="83" t="s">
        <v>65</v>
      </c>
      <c r="C60" s="83"/>
      <c r="D60" s="83"/>
      <c r="E60" s="83"/>
      <c r="F60" s="83"/>
      <c r="G60" s="83"/>
      <c r="H60" s="85" t="n">
        <v>0.015</v>
      </c>
      <c r="I60" s="273" t="n">
        <f aca="false">ROUND($I$41*H60,2)</f>
        <v>39.16</v>
      </c>
      <c r="K60" s="66"/>
    </row>
    <row r="61" customFormat="false" ht="15.75" hidden="false" customHeight="false" outlineLevel="0" collapsed="false">
      <c r="A61" s="82" t="s">
        <v>12</v>
      </c>
      <c r="B61" s="83" t="s">
        <v>66</v>
      </c>
      <c r="C61" s="83"/>
      <c r="D61" s="83"/>
      <c r="E61" s="83"/>
      <c r="F61" s="83"/>
      <c r="G61" s="83"/>
      <c r="H61" s="84" t="n">
        <v>0.01</v>
      </c>
      <c r="I61" s="273" t="n">
        <f aca="false">ROUND($I$41*H61,2)</f>
        <v>26.1</v>
      </c>
      <c r="K61" s="66"/>
    </row>
    <row r="62" customFormat="false" ht="15.75" hidden="false" customHeight="false" outlineLevel="0" collapsed="false">
      <c r="A62" s="82" t="s">
        <v>14</v>
      </c>
      <c r="B62" s="83" t="s">
        <v>67</v>
      </c>
      <c r="C62" s="83"/>
      <c r="D62" s="83"/>
      <c r="E62" s="83"/>
      <c r="F62" s="83"/>
      <c r="G62" s="83"/>
      <c r="H62" s="86" t="n">
        <v>0.002</v>
      </c>
      <c r="I62" s="273" t="n">
        <f aca="false">ROUND($I$41*H62,2)</f>
        <v>5.22</v>
      </c>
      <c r="K62" s="66"/>
    </row>
    <row r="63" customFormat="false" ht="15.75" hidden="false" customHeight="false" outlineLevel="0" collapsed="false">
      <c r="A63" s="82" t="s">
        <v>40</v>
      </c>
      <c r="B63" s="83" t="s">
        <v>68</v>
      </c>
      <c r="C63" s="83"/>
      <c r="D63" s="83"/>
      <c r="E63" s="83"/>
      <c r="F63" s="83"/>
      <c r="G63" s="83"/>
      <c r="H63" s="86" t="n">
        <v>0.025</v>
      </c>
      <c r="I63" s="273" t="n">
        <f aca="false">ROUND($I$41*H63,2)</f>
        <v>65.26</v>
      </c>
      <c r="K63" s="66"/>
    </row>
    <row r="64" customFormat="false" ht="15.75" hidden="false" customHeight="false" outlineLevel="0" collapsed="false">
      <c r="A64" s="82" t="s">
        <v>42</v>
      </c>
      <c r="B64" s="83" t="s">
        <v>69</v>
      </c>
      <c r="C64" s="83"/>
      <c r="D64" s="83"/>
      <c r="E64" s="83"/>
      <c r="F64" s="83"/>
      <c r="G64" s="83"/>
      <c r="H64" s="84" t="n">
        <v>0.08</v>
      </c>
      <c r="I64" s="273" t="n">
        <f aca="false">ROUND($I$41*H64,2)</f>
        <v>208.83</v>
      </c>
      <c r="K64" s="66"/>
    </row>
    <row r="65" customFormat="false" ht="15.75" hidden="false" customHeight="false" outlineLevel="0" collapsed="false">
      <c r="A65" s="82" t="s">
        <v>70</v>
      </c>
      <c r="B65" s="87" t="s">
        <v>71</v>
      </c>
      <c r="C65" s="87"/>
      <c r="D65" s="87"/>
      <c r="E65" s="87"/>
      <c r="F65" s="88" t="s">
        <v>72</v>
      </c>
      <c r="G65" s="89" t="s">
        <v>196</v>
      </c>
      <c r="H65" s="86" t="n">
        <v>0.015</v>
      </c>
      <c r="I65" s="273" t="n">
        <f aca="false">ROUND($I$41*H65,2)</f>
        <v>39.16</v>
      </c>
      <c r="K65" s="66"/>
    </row>
    <row r="66" customFormat="false" ht="15.75" hidden="false" customHeight="false" outlineLevel="0" collapsed="false">
      <c r="A66" s="82" t="s">
        <v>74</v>
      </c>
      <c r="B66" s="83" t="s">
        <v>75</v>
      </c>
      <c r="C66" s="83"/>
      <c r="D66" s="83"/>
      <c r="E66" s="83"/>
      <c r="F66" s="83"/>
      <c r="G66" s="83"/>
      <c r="H66" s="86" t="n">
        <v>0.006</v>
      </c>
      <c r="I66" s="273" t="n">
        <f aca="false">ROUND($I$41*H66,2)</f>
        <v>15.66</v>
      </c>
      <c r="K66" s="66"/>
    </row>
    <row r="67" customFormat="false" ht="15.75" hidden="false" customHeight="false" outlineLevel="0" collapsed="false">
      <c r="A67" s="90" t="s">
        <v>76</v>
      </c>
      <c r="B67" s="90"/>
      <c r="C67" s="90"/>
      <c r="D67" s="90"/>
      <c r="E67" s="90"/>
      <c r="F67" s="90"/>
      <c r="G67" s="90"/>
      <c r="H67" s="91" t="n">
        <f aca="false">SUM(H59:H66)</f>
        <v>0.353</v>
      </c>
      <c r="I67" s="284" t="n">
        <f aca="false">SUM(I59:I66)</f>
        <v>921.46</v>
      </c>
      <c r="K67" s="66"/>
    </row>
    <row r="68" customFormat="false" ht="15.75" hidden="false" customHeight="false" outlineLevel="0" collapsed="false">
      <c r="A68" s="93" t="s">
        <v>77</v>
      </c>
      <c r="B68" s="93"/>
      <c r="C68" s="93"/>
      <c r="D68" s="93"/>
      <c r="E68" s="93"/>
      <c r="F68" s="93"/>
      <c r="G68" s="93"/>
      <c r="H68" s="93"/>
      <c r="I68" s="93"/>
    </row>
    <row r="69" customFormat="false" ht="15.75" hidden="false" customHeight="false" outlineLevel="0" collapsed="false">
      <c r="A69" s="94" t="s">
        <v>78</v>
      </c>
      <c r="B69" s="94"/>
      <c r="C69" s="94"/>
      <c r="D69" s="94"/>
      <c r="E69" s="94"/>
      <c r="F69" s="94"/>
      <c r="G69" s="94"/>
      <c r="H69" s="94"/>
      <c r="I69" s="94"/>
    </row>
    <row r="70" customFormat="false" ht="15.75" hidden="false" customHeight="false" outlineLevel="0" collapsed="false">
      <c r="A70" s="79" t="s">
        <v>79</v>
      </c>
      <c r="B70" s="79"/>
      <c r="C70" s="79"/>
      <c r="D70" s="79"/>
      <c r="E70" s="79"/>
      <c r="F70" s="79"/>
      <c r="G70" s="79"/>
      <c r="H70" s="79"/>
      <c r="I70" s="79"/>
    </row>
    <row r="71" customFormat="false" ht="15.75" hidden="false" customHeight="false" outlineLevel="0" collapsed="false">
      <c r="A71" s="62" t="s">
        <v>80</v>
      </c>
      <c r="B71" s="81" t="s">
        <v>81</v>
      </c>
      <c r="C71" s="81"/>
      <c r="D71" s="81"/>
      <c r="E71" s="81"/>
      <c r="F71" s="81"/>
      <c r="G71" s="81"/>
      <c r="H71" s="81"/>
      <c r="I71" s="272" t="s">
        <v>35</v>
      </c>
    </row>
    <row r="72" customFormat="false" ht="31.5" hidden="false" customHeight="true" outlineLevel="0" collapsed="false">
      <c r="A72" s="17" t="s">
        <v>8</v>
      </c>
      <c r="B72" s="95" t="s">
        <v>82</v>
      </c>
      <c r="C72" s="95"/>
      <c r="D72" s="95"/>
      <c r="E72" s="95"/>
      <c r="F72" s="95"/>
      <c r="G72" s="95"/>
      <c r="H72" s="95"/>
      <c r="I72" s="285" t="n">
        <f aca="false">ROUND(I41/12,2)</f>
        <v>217.53</v>
      </c>
      <c r="K72" s="66"/>
    </row>
    <row r="73" customFormat="false" ht="15.75" hidden="false" customHeight="false" outlineLevel="0" collapsed="false">
      <c r="A73" s="97" t="s">
        <v>83</v>
      </c>
      <c r="B73" s="97"/>
      <c r="C73" s="97"/>
      <c r="D73" s="97"/>
      <c r="E73" s="97"/>
      <c r="F73" s="97"/>
      <c r="G73" s="97"/>
      <c r="H73" s="97"/>
      <c r="I73" s="273" t="n">
        <f aca="false">SUM(I72:I72)</f>
        <v>217.53</v>
      </c>
      <c r="K73" s="66"/>
    </row>
    <row r="74" customFormat="false" ht="15.75" hidden="false" customHeight="false" outlineLevel="0" collapsed="false">
      <c r="A74" s="17" t="s">
        <v>10</v>
      </c>
      <c r="B74" s="83" t="s">
        <v>84</v>
      </c>
      <c r="C74" s="83"/>
      <c r="D74" s="83"/>
      <c r="E74" s="83"/>
      <c r="F74" s="83"/>
      <c r="G74" s="83"/>
      <c r="H74" s="83"/>
      <c r="I74" s="273" t="n">
        <f aca="false">ROUND(I73*H67,2)</f>
        <v>76.79</v>
      </c>
      <c r="K74" s="66"/>
    </row>
    <row r="75" customFormat="false" ht="15.75" hidden="false" customHeight="false" outlineLevel="0" collapsed="false">
      <c r="A75" s="60" t="s">
        <v>76</v>
      </c>
      <c r="B75" s="60"/>
      <c r="C75" s="60"/>
      <c r="D75" s="60"/>
      <c r="E75" s="60"/>
      <c r="F75" s="60"/>
      <c r="G75" s="60"/>
      <c r="H75" s="60"/>
      <c r="I75" s="275" t="n">
        <f aca="false">SUM(I73:I74)</f>
        <v>294.32</v>
      </c>
      <c r="K75" s="66"/>
    </row>
    <row r="76" customFormat="false" ht="15.75" hidden="false" customHeight="false" outlineLevel="0" collapsed="false">
      <c r="A76" s="79" t="s">
        <v>85</v>
      </c>
      <c r="B76" s="79"/>
      <c r="C76" s="79"/>
      <c r="D76" s="79"/>
      <c r="E76" s="79"/>
      <c r="F76" s="79"/>
      <c r="G76" s="79"/>
      <c r="H76" s="79"/>
      <c r="I76" s="79"/>
    </row>
    <row r="77" customFormat="false" ht="15.75" hidden="false" customHeight="false" outlineLevel="0" collapsed="false">
      <c r="A77" s="62" t="s">
        <v>86</v>
      </c>
      <c r="B77" s="81" t="s">
        <v>87</v>
      </c>
      <c r="C77" s="81"/>
      <c r="D77" s="81"/>
      <c r="E77" s="81"/>
      <c r="F77" s="81"/>
      <c r="G77" s="81"/>
      <c r="H77" s="81"/>
      <c r="I77" s="272" t="s">
        <v>35</v>
      </c>
    </row>
    <row r="78" customFormat="false" ht="18.75" hidden="false" customHeight="true" outlineLevel="0" collapsed="false">
      <c r="A78" s="17" t="s">
        <v>8</v>
      </c>
      <c r="B78" s="52" t="s">
        <v>88</v>
      </c>
      <c r="C78" s="52"/>
      <c r="D78" s="52"/>
      <c r="E78" s="52"/>
      <c r="F78" s="52"/>
      <c r="G78" s="52"/>
      <c r="H78" s="52"/>
      <c r="I78" s="282" t="n">
        <f aca="false">ROUND((((I41+I41/3)*(4/12))/12)*0.02,2)</f>
        <v>1.93</v>
      </c>
    </row>
    <row r="79" customFormat="false" ht="15.75" hidden="false" customHeight="false" outlineLevel="0" collapsed="false">
      <c r="A79" s="17" t="s">
        <v>10</v>
      </c>
      <c r="B79" s="83" t="s">
        <v>89</v>
      </c>
      <c r="C79" s="83"/>
      <c r="D79" s="83"/>
      <c r="E79" s="83"/>
      <c r="F79" s="83"/>
      <c r="G79" s="83"/>
      <c r="H79" s="83"/>
      <c r="I79" s="282" t="n">
        <f aca="false">ROUND(I78*H67,2)</f>
        <v>0.68</v>
      </c>
    </row>
    <row r="80" customFormat="false" ht="15.75" hidden="false" customHeight="false" outlineLevel="0" collapsed="false">
      <c r="A80" s="60" t="s">
        <v>76</v>
      </c>
      <c r="B80" s="60"/>
      <c r="C80" s="60"/>
      <c r="D80" s="60"/>
      <c r="E80" s="60"/>
      <c r="F80" s="60"/>
      <c r="G80" s="60"/>
      <c r="H80" s="60"/>
      <c r="I80" s="275" t="n">
        <f aca="false">SUM(I78:I79)</f>
        <v>2.61</v>
      </c>
    </row>
    <row r="81" customFormat="false" ht="15.75" hidden="false" customHeight="false" outlineLevel="0" collapsed="false">
      <c r="A81" s="79" t="s">
        <v>90</v>
      </c>
      <c r="B81" s="79"/>
      <c r="C81" s="79"/>
      <c r="D81" s="79"/>
      <c r="E81" s="79"/>
      <c r="F81" s="79"/>
      <c r="G81" s="79"/>
      <c r="H81" s="79"/>
      <c r="I81" s="79"/>
    </row>
    <row r="82" customFormat="false" ht="15.75" hidden="false" customHeight="false" outlineLevel="0" collapsed="false">
      <c r="A82" s="62" t="s">
        <v>91</v>
      </c>
      <c r="B82" s="81" t="s">
        <v>92</v>
      </c>
      <c r="C82" s="81"/>
      <c r="D82" s="81"/>
      <c r="E82" s="81"/>
      <c r="F82" s="81"/>
      <c r="G82" s="81"/>
      <c r="H82" s="81"/>
      <c r="I82" s="272" t="s">
        <v>35</v>
      </c>
    </row>
    <row r="83" customFormat="false" ht="25.5" hidden="false" customHeight="true" outlineLevel="0" collapsed="false">
      <c r="A83" s="17" t="s">
        <v>8</v>
      </c>
      <c r="B83" s="99" t="s">
        <v>93</v>
      </c>
      <c r="C83" s="99"/>
      <c r="D83" s="99"/>
      <c r="E83" s="99"/>
      <c r="F83" s="99"/>
      <c r="G83" s="99"/>
      <c r="H83" s="99"/>
      <c r="I83" s="273" t="n">
        <f aca="false">ROUND((I41/12)*(30/30)*0.05,2)</f>
        <v>10.88</v>
      </c>
    </row>
    <row r="84" customFormat="false" ht="15.75" hidden="false" customHeight="true" outlineLevel="0" collapsed="false">
      <c r="A84" s="17" t="s">
        <v>10</v>
      </c>
      <c r="B84" s="83" t="s">
        <v>94</v>
      </c>
      <c r="C84" s="83"/>
      <c r="D84" s="83"/>
      <c r="E84" s="83"/>
      <c r="F84" s="83"/>
      <c r="G84" s="83"/>
      <c r="H84" s="83"/>
      <c r="I84" s="273" t="n">
        <f aca="false">ROUND(I83*H64,2)</f>
        <v>0.87</v>
      </c>
    </row>
    <row r="85" customFormat="false" ht="49.5" hidden="false" customHeight="true" outlineLevel="0" collapsed="false">
      <c r="A85" s="17" t="s">
        <v>12</v>
      </c>
      <c r="B85" s="95" t="s">
        <v>95</v>
      </c>
      <c r="C85" s="95"/>
      <c r="D85" s="95"/>
      <c r="E85" s="95"/>
      <c r="F85" s="95"/>
      <c r="G85" s="95"/>
      <c r="H85" s="95"/>
      <c r="I85" s="285" t="n">
        <f aca="false">ROUND(0.0024*I41,2)</f>
        <v>6.26</v>
      </c>
      <c r="K85" s="66"/>
    </row>
    <row r="86" customFormat="false" ht="30.75" hidden="false" customHeight="true" outlineLevel="0" collapsed="false">
      <c r="A86" s="100" t="s">
        <v>14</v>
      </c>
      <c r="B86" s="99" t="s">
        <v>96</v>
      </c>
      <c r="C86" s="99"/>
      <c r="D86" s="99"/>
      <c r="E86" s="99"/>
      <c r="F86" s="99"/>
      <c r="G86" s="99"/>
      <c r="H86" s="99"/>
      <c r="I86" s="273" t="n">
        <v>0</v>
      </c>
      <c r="N86" s="101"/>
    </row>
    <row r="87" customFormat="false" ht="18" hidden="false" customHeight="true" outlineLevel="0" collapsed="false">
      <c r="A87" s="17" t="s">
        <v>40</v>
      </c>
      <c r="B87" s="83" t="s">
        <v>97</v>
      </c>
      <c r="C87" s="83"/>
      <c r="D87" s="83"/>
      <c r="E87" s="83"/>
      <c r="F87" s="83"/>
      <c r="G87" s="83"/>
      <c r="H87" s="83"/>
      <c r="I87" s="273" t="n">
        <f aca="false">ROUND(I86*H67,2)</f>
        <v>0</v>
      </c>
      <c r="J87" s="13"/>
      <c r="K87" s="13"/>
      <c r="L87" s="102"/>
    </row>
    <row r="88" customFormat="false" ht="48.75" hidden="false" customHeight="true" outlineLevel="0" collapsed="false">
      <c r="A88" s="17" t="s">
        <v>42</v>
      </c>
      <c r="B88" s="95" t="s">
        <v>98</v>
      </c>
      <c r="C88" s="95"/>
      <c r="D88" s="95"/>
      <c r="E88" s="95"/>
      <c r="F88" s="95"/>
      <c r="G88" s="95"/>
      <c r="H88" s="95"/>
      <c r="I88" s="285" t="n">
        <f aca="false">ROUND(0.0476*I41,2)</f>
        <v>124.25</v>
      </c>
      <c r="J88" s="13"/>
      <c r="K88" s="66"/>
      <c r="L88" s="13"/>
    </row>
    <row r="89" customFormat="false" ht="20.25" hidden="false" customHeight="true" outlineLevel="0" collapsed="false">
      <c r="A89" s="60" t="s">
        <v>76</v>
      </c>
      <c r="B89" s="60"/>
      <c r="C89" s="60"/>
      <c r="D89" s="60"/>
      <c r="E89" s="60"/>
      <c r="F89" s="60"/>
      <c r="G89" s="60"/>
      <c r="H89" s="60"/>
      <c r="I89" s="275" t="n">
        <f aca="false">SUM(I83:I88)</f>
        <v>142.26</v>
      </c>
    </row>
    <row r="90" customFormat="false" ht="20.25" hidden="false" customHeight="true" outlineLevel="0" collapsed="false">
      <c r="A90" s="79" t="s">
        <v>99</v>
      </c>
      <c r="B90" s="79"/>
      <c r="C90" s="79"/>
      <c r="D90" s="79"/>
      <c r="E90" s="79"/>
      <c r="F90" s="79"/>
      <c r="G90" s="79"/>
      <c r="H90" s="79"/>
      <c r="I90" s="79"/>
    </row>
    <row r="91" customFormat="false" ht="15.75" hidden="false" customHeight="false" outlineLevel="0" collapsed="false">
      <c r="A91" s="62" t="s">
        <v>100</v>
      </c>
      <c r="B91" s="81" t="s">
        <v>101</v>
      </c>
      <c r="C91" s="81"/>
      <c r="D91" s="81"/>
      <c r="E91" s="81"/>
      <c r="F91" s="81"/>
      <c r="G91" s="81"/>
      <c r="H91" s="81"/>
      <c r="I91" s="272" t="s">
        <v>35</v>
      </c>
    </row>
    <row r="92" customFormat="false" ht="49.5" hidden="false" customHeight="true" outlineLevel="0" collapsed="false">
      <c r="A92" s="17" t="s">
        <v>8</v>
      </c>
      <c r="B92" s="95" t="s">
        <v>102</v>
      </c>
      <c r="C92" s="95"/>
      <c r="D92" s="95"/>
      <c r="E92" s="95"/>
      <c r="F92" s="95"/>
      <c r="G92" s="95"/>
      <c r="H92" s="95"/>
      <c r="I92" s="285" t="n">
        <f aca="false">ROUND(0.121*I41,2)</f>
        <v>315.85</v>
      </c>
      <c r="K92" s="66"/>
    </row>
    <row r="93" customFormat="false" ht="17.25" hidden="false" customHeight="true" outlineLevel="0" collapsed="false">
      <c r="A93" s="17" t="s">
        <v>10</v>
      </c>
      <c r="B93" s="52" t="s">
        <v>103</v>
      </c>
      <c r="C93" s="52"/>
      <c r="D93" s="52"/>
      <c r="E93" s="52"/>
      <c r="F93" s="52"/>
      <c r="G93" s="52"/>
      <c r="H93" s="52"/>
      <c r="I93" s="273" t="n">
        <f aca="false">ROUND(((I41/30)*5)/12,2)</f>
        <v>36.25</v>
      </c>
    </row>
    <row r="94" customFormat="false" ht="16.5" hidden="false" customHeight="true" outlineLevel="0" collapsed="false">
      <c r="A94" s="17" t="s">
        <v>12</v>
      </c>
      <c r="B94" s="52" t="s">
        <v>104</v>
      </c>
      <c r="C94" s="52"/>
      <c r="D94" s="52"/>
      <c r="E94" s="52"/>
      <c r="F94" s="52"/>
      <c r="G94" s="52"/>
      <c r="H94" s="52"/>
      <c r="I94" s="273" t="n">
        <f aca="false">ROUND((((I41/30)*5)/12)*0.015,2)</f>
        <v>0.54</v>
      </c>
    </row>
    <row r="95" customFormat="false" ht="17.25" hidden="false" customHeight="true" outlineLevel="0" collapsed="false">
      <c r="A95" s="17" t="s">
        <v>14</v>
      </c>
      <c r="B95" s="52" t="s">
        <v>105</v>
      </c>
      <c r="C95" s="52"/>
      <c r="D95" s="52"/>
      <c r="E95" s="52"/>
      <c r="F95" s="52"/>
      <c r="G95" s="52"/>
      <c r="H95" s="52"/>
      <c r="I95" s="273" t="n">
        <f aca="false">ROUND(((I41/30)*2.96)/12,2)</f>
        <v>21.46</v>
      </c>
    </row>
    <row r="96" customFormat="false" ht="16.5" hidden="false" customHeight="true" outlineLevel="0" collapsed="false">
      <c r="A96" s="17" t="s">
        <v>40</v>
      </c>
      <c r="B96" s="52" t="s">
        <v>106</v>
      </c>
      <c r="C96" s="52"/>
      <c r="D96" s="52"/>
      <c r="E96" s="52"/>
      <c r="F96" s="52"/>
      <c r="G96" s="52"/>
      <c r="H96" s="52"/>
      <c r="I96" s="273" t="n">
        <f aca="false">ROUND((((I41/30)*15)/12)*0.0078,2)</f>
        <v>0.85</v>
      </c>
    </row>
    <row r="97" customFormat="false" ht="15.75" hidden="false" customHeight="false" outlineLevel="0" collapsed="false">
      <c r="A97" s="97" t="s">
        <v>83</v>
      </c>
      <c r="B97" s="97"/>
      <c r="C97" s="97"/>
      <c r="D97" s="97"/>
      <c r="E97" s="97"/>
      <c r="F97" s="97"/>
      <c r="G97" s="97"/>
      <c r="H97" s="97"/>
      <c r="I97" s="281" t="n">
        <f aca="false">SUM(I92:I96)</f>
        <v>374.95</v>
      </c>
      <c r="K97" s="66"/>
    </row>
    <row r="98" customFormat="false" ht="15.75" hidden="false" customHeight="false" outlineLevel="0" collapsed="false">
      <c r="A98" s="17" t="s">
        <v>70</v>
      </c>
      <c r="B98" s="83" t="s">
        <v>107</v>
      </c>
      <c r="C98" s="83"/>
      <c r="D98" s="83"/>
      <c r="E98" s="83"/>
      <c r="F98" s="83"/>
      <c r="G98" s="83"/>
      <c r="H98" s="83"/>
      <c r="I98" s="286" t="n">
        <f aca="false">ROUND(I97*H67,2)</f>
        <v>132.36</v>
      </c>
      <c r="K98" s="66"/>
    </row>
    <row r="99" customFormat="false" ht="15.75" hidden="false" customHeight="false" outlineLevel="0" collapsed="false">
      <c r="A99" s="60" t="s">
        <v>76</v>
      </c>
      <c r="B99" s="60"/>
      <c r="C99" s="60"/>
      <c r="D99" s="60"/>
      <c r="E99" s="60"/>
      <c r="F99" s="60"/>
      <c r="G99" s="60"/>
      <c r="H99" s="60"/>
      <c r="I99" s="275" t="n">
        <f aca="false">SUM(I97+I98)</f>
        <v>507.31</v>
      </c>
      <c r="K99" s="66"/>
    </row>
    <row r="100" customFormat="false" ht="15.75" hidden="false" customHeight="false" outlineLevel="0" collapsed="false">
      <c r="A100" s="104" t="s">
        <v>108</v>
      </c>
      <c r="B100" s="104"/>
      <c r="C100" s="104"/>
      <c r="D100" s="104"/>
      <c r="E100" s="104"/>
      <c r="F100" s="104"/>
      <c r="G100" s="104"/>
      <c r="H100" s="104"/>
      <c r="I100" s="104"/>
    </row>
    <row r="101" customFormat="false" ht="15.75" hidden="false" customHeight="false" outlineLevel="0" collapsed="false">
      <c r="A101" s="62" t="n">
        <v>4</v>
      </c>
      <c r="B101" s="81" t="s">
        <v>109</v>
      </c>
      <c r="C101" s="81"/>
      <c r="D101" s="81"/>
      <c r="E101" s="81"/>
      <c r="F101" s="81"/>
      <c r="G101" s="81"/>
      <c r="H101" s="81"/>
      <c r="I101" s="272" t="s">
        <v>35</v>
      </c>
    </row>
    <row r="102" customFormat="false" ht="15.75" hidden="false" customHeight="false" outlineLevel="0" collapsed="false">
      <c r="A102" s="17" t="s">
        <v>61</v>
      </c>
      <c r="B102" s="83" t="s">
        <v>62</v>
      </c>
      <c r="C102" s="83"/>
      <c r="D102" s="83"/>
      <c r="E102" s="83"/>
      <c r="F102" s="83"/>
      <c r="G102" s="83"/>
      <c r="H102" s="83"/>
      <c r="I102" s="282" t="n">
        <f aca="false">I67</f>
        <v>921.46</v>
      </c>
    </row>
    <row r="103" customFormat="false" ht="15.75" hidden="false" customHeight="false" outlineLevel="0" collapsed="false">
      <c r="A103" s="17" t="s">
        <v>80</v>
      </c>
      <c r="B103" s="83" t="s">
        <v>110</v>
      </c>
      <c r="C103" s="83"/>
      <c r="D103" s="83"/>
      <c r="E103" s="83"/>
      <c r="F103" s="83"/>
      <c r="G103" s="83"/>
      <c r="H103" s="83"/>
      <c r="I103" s="282" t="n">
        <f aca="false">I75</f>
        <v>294.32</v>
      </c>
    </row>
    <row r="104" customFormat="false" ht="15.75" hidden="false" customHeight="false" outlineLevel="0" collapsed="false">
      <c r="A104" s="17" t="s">
        <v>86</v>
      </c>
      <c r="B104" s="83" t="s">
        <v>87</v>
      </c>
      <c r="C104" s="83"/>
      <c r="D104" s="83"/>
      <c r="E104" s="83"/>
      <c r="F104" s="83"/>
      <c r="G104" s="83"/>
      <c r="H104" s="83"/>
      <c r="I104" s="282" t="n">
        <f aca="false">I80</f>
        <v>2.61</v>
      </c>
    </row>
    <row r="105" customFormat="false" ht="15.75" hidden="false" customHeight="false" outlineLevel="0" collapsed="false">
      <c r="A105" s="17" t="s">
        <v>91</v>
      </c>
      <c r="B105" s="83" t="s">
        <v>111</v>
      </c>
      <c r="C105" s="83"/>
      <c r="D105" s="83"/>
      <c r="E105" s="83"/>
      <c r="F105" s="83"/>
      <c r="G105" s="83"/>
      <c r="H105" s="83"/>
      <c r="I105" s="282" t="n">
        <f aca="false">I89</f>
        <v>142.26</v>
      </c>
    </row>
    <row r="106" customFormat="false" ht="15.75" hidden="false" customHeight="false" outlineLevel="0" collapsed="false">
      <c r="A106" s="17" t="s">
        <v>100</v>
      </c>
      <c r="B106" s="83" t="s">
        <v>112</v>
      </c>
      <c r="C106" s="83"/>
      <c r="D106" s="83"/>
      <c r="E106" s="83"/>
      <c r="F106" s="83"/>
      <c r="G106" s="83"/>
      <c r="H106" s="83"/>
      <c r="I106" s="282" t="n">
        <f aca="false">I99</f>
        <v>507.31</v>
      </c>
    </row>
    <row r="107" customFormat="false" ht="15.75" hidden="false" customHeight="false" outlineLevel="0" collapsed="false">
      <c r="A107" s="60" t="s">
        <v>76</v>
      </c>
      <c r="B107" s="60"/>
      <c r="C107" s="60"/>
      <c r="D107" s="60"/>
      <c r="E107" s="60"/>
      <c r="F107" s="60"/>
      <c r="G107" s="60"/>
      <c r="H107" s="60"/>
      <c r="I107" s="275" t="n">
        <f aca="false">SUM(I102:I106)</f>
        <v>1867.96</v>
      </c>
      <c r="K107" s="106"/>
    </row>
    <row r="108" customFormat="false" ht="16.5" hidden="false" customHeight="true" outlineLevel="0" collapsed="false">
      <c r="A108" s="107" t="s">
        <v>113</v>
      </c>
      <c r="B108" s="107"/>
      <c r="C108" s="107"/>
      <c r="D108" s="107"/>
      <c r="E108" s="107"/>
      <c r="F108" s="107"/>
      <c r="G108" s="107"/>
      <c r="H108" s="107"/>
      <c r="I108" s="107"/>
    </row>
    <row r="109" customFormat="false" ht="15.75" hidden="false" customHeight="false" outlineLevel="0" collapsed="false">
      <c r="A109" s="62" t="n">
        <v>5</v>
      </c>
      <c r="B109" s="63" t="s">
        <v>114</v>
      </c>
      <c r="C109" s="63"/>
      <c r="D109" s="63"/>
      <c r="E109" s="63"/>
      <c r="F109" s="63"/>
      <c r="G109" s="63"/>
      <c r="H109" s="108" t="s">
        <v>63</v>
      </c>
      <c r="I109" s="272" t="s">
        <v>35</v>
      </c>
    </row>
    <row r="110" customFormat="false" ht="46.5" hidden="false" customHeight="true" outlineLevel="0" collapsed="false">
      <c r="A110" s="109" t="s">
        <v>115</v>
      </c>
      <c r="B110" s="109"/>
      <c r="C110" s="109"/>
      <c r="D110" s="109"/>
      <c r="E110" s="109"/>
      <c r="F110" s="109"/>
      <c r="G110" s="109"/>
      <c r="H110" s="110" t="n">
        <v>0</v>
      </c>
      <c r="I110" s="287" t="n">
        <f aca="false">(I41+I50+I55+I107)</f>
        <v>5334.134375</v>
      </c>
    </row>
    <row r="111" customFormat="false" ht="15.75" hidden="false" customHeight="false" outlineLevel="0" collapsed="false">
      <c r="A111" s="17" t="s">
        <v>8</v>
      </c>
      <c r="B111" s="83" t="s">
        <v>116</v>
      </c>
      <c r="C111" s="83"/>
      <c r="D111" s="83"/>
      <c r="E111" s="83"/>
      <c r="F111" s="83"/>
      <c r="G111" s="83"/>
      <c r="H111" s="112" t="n">
        <f aca="false">'Dom Pedrito 4.2'!H110</f>
        <v>0.1207</v>
      </c>
      <c r="I111" s="273" t="n">
        <f aca="false">ROUND(I110*H111,2)</f>
        <v>643.83</v>
      </c>
      <c r="J111" s="113"/>
    </row>
    <row r="112" customFormat="false" ht="49.5" hidden="false" customHeight="true" outlineLevel="0" collapsed="false">
      <c r="A112" s="109" t="s">
        <v>117</v>
      </c>
      <c r="B112" s="109"/>
      <c r="C112" s="109"/>
      <c r="D112" s="109"/>
      <c r="E112" s="109"/>
      <c r="F112" s="109"/>
      <c r="G112" s="109"/>
      <c r="H112" s="114" t="n">
        <v>0</v>
      </c>
      <c r="I112" s="288" t="n">
        <f aca="false">I110+I111</f>
        <v>5977.964375</v>
      </c>
      <c r="J112" s="113"/>
    </row>
    <row r="113" customFormat="false" ht="15.75" hidden="false" customHeight="false" outlineLevel="0" collapsed="false">
      <c r="A113" s="17" t="s">
        <v>10</v>
      </c>
      <c r="B113" s="83" t="s">
        <v>118</v>
      </c>
      <c r="C113" s="83"/>
      <c r="D113" s="83"/>
      <c r="E113" s="83"/>
      <c r="F113" s="83"/>
      <c r="G113" s="83"/>
      <c r="H113" s="112" t="n">
        <f aca="false">'Dom Pedrito 4.2'!H112</f>
        <v>0.0818</v>
      </c>
      <c r="I113" s="273" t="n">
        <f aca="false">ROUND(I112*H113,2)</f>
        <v>489</v>
      </c>
      <c r="J113" s="116"/>
    </row>
    <row r="114" customFormat="false" ht="48" hidden="false" customHeight="true" outlineLevel="0" collapsed="false">
      <c r="A114" s="109" t="s">
        <v>119</v>
      </c>
      <c r="B114" s="109"/>
      <c r="C114" s="109"/>
      <c r="D114" s="109"/>
      <c r="E114" s="109"/>
      <c r="F114" s="109"/>
      <c r="G114" s="109"/>
      <c r="H114" s="117" t="n">
        <v>0</v>
      </c>
      <c r="I114" s="289" t="n">
        <f aca="false">I112+I113</f>
        <v>6466.964375</v>
      </c>
      <c r="J114" s="116"/>
    </row>
    <row r="115" customFormat="false" ht="15.75" hidden="false" customHeight="false" outlineLevel="0" collapsed="false">
      <c r="A115" s="17" t="s">
        <v>12</v>
      </c>
      <c r="B115" s="83" t="s">
        <v>120</v>
      </c>
      <c r="C115" s="83"/>
      <c r="D115" s="83"/>
      <c r="E115" s="83"/>
      <c r="F115" s="83"/>
      <c r="G115" s="83"/>
      <c r="H115" s="119" t="s">
        <v>198</v>
      </c>
      <c r="I115" s="290" t="s">
        <v>198</v>
      </c>
      <c r="J115" s="116"/>
    </row>
    <row r="116" customFormat="false" ht="15.75" hidden="false" customHeight="false" outlineLevel="0" collapsed="false">
      <c r="A116" s="17"/>
      <c r="B116" s="83" t="s">
        <v>121</v>
      </c>
      <c r="C116" s="83"/>
      <c r="D116" s="83"/>
      <c r="E116" s="83"/>
      <c r="F116" s="83"/>
      <c r="G116" s="83"/>
      <c r="H116" s="119" t="s">
        <v>198</v>
      </c>
      <c r="I116" s="290" t="s">
        <v>198</v>
      </c>
    </row>
    <row r="117" customFormat="false" ht="29.25" hidden="false" customHeight="true" outlineLevel="0" collapsed="false">
      <c r="A117" s="17"/>
      <c r="B117" s="67" t="s">
        <v>199</v>
      </c>
      <c r="C117" s="67"/>
      <c r="D117" s="67"/>
      <c r="E117" s="67"/>
      <c r="F117" s="67"/>
      <c r="G117" s="67"/>
      <c r="H117" s="121" t="n">
        <v>0.03</v>
      </c>
      <c r="I117" s="273" t="n">
        <f aca="false">ROUND(($I$114/(1-H124))*H117,2)</f>
        <v>207.83</v>
      </c>
    </row>
    <row r="118" customFormat="false" ht="30.75" hidden="false" customHeight="true" outlineLevel="0" collapsed="false">
      <c r="A118" s="17"/>
      <c r="B118" s="67" t="s">
        <v>200</v>
      </c>
      <c r="C118" s="67"/>
      <c r="D118" s="67"/>
      <c r="E118" s="67"/>
      <c r="F118" s="67"/>
      <c r="G118" s="67"/>
      <c r="H118" s="121" t="n">
        <v>0.0065</v>
      </c>
      <c r="I118" s="273" t="n">
        <f aca="false">ROUND(($I$114/(1-H124))*H118,2)</f>
        <v>45.03</v>
      </c>
      <c r="K118" s="66"/>
    </row>
    <row r="119" customFormat="false" ht="30" hidden="false" customHeight="true" outlineLevel="0" collapsed="false">
      <c r="A119" s="17"/>
      <c r="B119" s="122" t="s">
        <v>124</v>
      </c>
      <c r="C119" s="122"/>
      <c r="D119" s="122"/>
      <c r="E119" s="122"/>
      <c r="F119" s="122"/>
      <c r="G119" s="122"/>
      <c r="H119" s="121" t="s">
        <v>198</v>
      </c>
      <c r="I119" s="290" t="s">
        <v>198</v>
      </c>
      <c r="K119" s="66"/>
    </row>
    <row r="120" customFormat="false" ht="15.75" hidden="false" customHeight="false" outlineLevel="0" collapsed="false">
      <c r="A120" s="17"/>
      <c r="B120" s="83" t="s">
        <v>125</v>
      </c>
      <c r="C120" s="83"/>
      <c r="D120" s="83"/>
      <c r="E120" s="83"/>
      <c r="F120" s="83"/>
      <c r="G120" s="83"/>
      <c r="H120" s="119" t="s">
        <v>198</v>
      </c>
      <c r="I120" s="290" t="s">
        <v>198</v>
      </c>
    </row>
    <row r="121" customFormat="false" ht="15.75" hidden="false" customHeight="false" outlineLevel="0" collapsed="false">
      <c r="A121" s="17"/>
      <c r="B121" s="83" t="s">
        <v>126</v>
      </c>
      <c r="C121" s="83"/>
      <c r="D121" s="83"/>
      <c r="E121" s="83"/>
      <c r="F121" s="83"/>
      <c r="G121" s="83"/>
      <c r="H121" s="119" t="s">
        <v>198</v>
      </c>
      <c r="I121" s="290" t="s">
        <v>198</v>
      </c>
      <c r="K121" s="66"/>
    </row>
    <row r="122" customFormat="false" ht="15.75" hidden="false" customHeight="false" outlineLevel="0" collapsed="false">
      <c r="A122" s="17"/>
      <c r="B122" s="52" t="s">
        <v>268</v>
      </c>
      <c r="C122" s="52"/>
      <c r="D122" s="52"/>
      <c r="E122" s="52"/>
      <c r="F122" s="52"/>
      <c r="G122" s="52"/>
      <c r="H122" s="124" t="n">
        <v>0.03</v>
      </c>
      <c r="I122" s="273" t="n">
        <f aca="false">ROUND(($I$114/(1-H124))*H122,2)</f>
        <v>207.83</v>
      </c>
    </row>
    <row r="123" customFormat="false" ht="15.75" hidden="false" customHeight="false" outlineLevel="0" collapsed="false">
      <c r="A123" s="125" t="s">
        <v>76</v>
      </c>
      <c r="B123" s="125"/>
      <c r="C123" s="125"/>
      <c r="D123" s="125"/>
      <c r="E123" s="125"/>
      <c r="F123" s="125"/>
      <c r="G123" s="125"/>
      <c r="H123" s="125"/>
      <c r="I123" s="291" t="n">
        <f aca="false">I111+I113+I117+I118+I122</f>
        <v>1593.52</v>
      </c>
    </row>
    <row r="124" customFormat="false" ht="15.75" hidden="false" customHeight="false" outlineLevel="0" collapsed="false">
      <c r="A124" s="127" t="s">
        <v>128</v>
      </c>
      <c r="B124" s="127"/>
      <c r="C124" s="127"/>
      <c r="D124" s="127"/>
      <c r="E124" s="127"/>
      <c r="F124" s="127"/>
      <c r="G124" s="127"/>
      <c r="H124" s="128" t="n">
        <f aca="false">SUM(H117:H122)</f>
        <v>0.0665</v>
      </c>
      <c r="I124" s="292" t="n">
        <f aca="false">SUM(I117+I118+I122)</f>
        <v>460.69</v>
      </c>
    </row>
    <row r="125" customFormat="false" ht="15.75" hidden="false" customHeight="false" outlineLevel="0" collapsed="false">
      <c r="A125" s="130" t="s">
        <v>129</v>
      </c>
      <c r="B125" s="130"/>
      <c r="C125" s="293" t="s">
        <v>130</v>
      </c>
      <c r="D125" s="293"/>
      <c r="E125" s="293"/>
      <c r="F125" s="293"/>
      <c r="G125" s="293"/>
      <c r="H125" s="293"/>
      <c r="I125" s="293"/>
    </row>
    <row r="126" customFormat="false" ht="15" hidden="false" customHeight="false" outlineLevel="0" collapsed="false">
      <c r="A126" s="130"/>
      <c r="B126" s="130"/>
      <c r="C126" s="294" t="s">
        <v>131</v>
      </c>
      <c r="D126" s="294"/>
      <c r="E126" s="294"/>
      <c r="F126" s="294"/>
      <c r="G126" s="294"/>
      <c r="H126" s="294"/>
      <c r="I126" s="294"/>
    </row>
    <row r="127" customFormat="false" ht="15.75" hidden="false" customHeight="false" outlineLevel="0" collapsed="false">
      <c r="A127" s="133" t="s">
        <v>132</v>
      </c>
      <c r="B127" s="133"/>
      <c r="C127" s="133"/>
      <c r="D127" s="133"/>
      <c r="E127" s="133"/>
      <c r="F127" s="133"/>
      <c r="G127" s="133"/>
      <c r="H127" s="133"/>
      <c r="I127" s="133"/>
    </row>
    <row r="128" customFormat="false" ht="15.75" hidden="false" customHeight="false" outlineLevel="0" collapsed="false">
      <c r="A128" s="94" t="s">
        <v>133</v>
      </c>
      <c r="B128" s="94"/>
      <c r="C128" s="94"/>
      <c r="D128" s="94"/>
      <c r="E128" s="94"/>
      <c r="F128" s="94"/>
      <c r="G128" s="94"/>
      <c r="H128" s="94"/>
      <c r="I128" s="94"/>
    </row>
    <row r="129" customFormat="false" ht="15.75" hidden="false" customHeight="false" outlineLevel="0" collapsed="false">
      <c r="A129" s="295"/>
      <c r="B129" s="295"/>
      <c r="C129" s="295"/>
      <c r="D129" s="295"/>
      <c r="E129" s="295"/>
      <c r="F129" s="295"/>
      <c r="G129" s="295"/>
      <c r="H129" s="295"/>
      <c r="I129" s="295"/>
    </row>
    <row r="130" customFormat="false" ht="15.75" hidden="false" customHeight="false" outlineLevel="0" collapsed="false">
      <c r="A130" s="33" t="s">
        <v>134</v>
      </c>
      <c r="B130" s="33"/>
      <c r="C130" s="33"/>
      <c r="D130" s="33"/>
      <c r="E130" s="33"/>
      <c r="F130" s="33"/>
      <c r="G130" s="33"/>
      <c r="H130" s="33"/>
      <c r="I130" s="33"/>
    </row>
    <row r="131" customFormat="false" ht="15.75" hidden="false" customHeight="false" outlineLevel="0" collapsed="false">
      <c r="A131" s="135" t="s">
        <v>135</v>
      </c>
      <c r="B131" s="135"/>
      <c r="C131" s="135"/>
      <c r="D131" s="135"/>
      <c r="E131" s="135"/>
      <c r="F131" s="135"/>
      <c r="G131" s="135"/>
      <c r="H131" s="135"/>
      <c r="I131" s="135"/>
    </row>
    <row r="132" customFormat="false" ht="15.75" hidden="false" customHeight="false" outlineLevel="0" collapsed="false">
      <c r="A132" s="136" t="s">
        <v>136</v>
      </c>
      <c r="B132" s="136"/>
      <c r="C132" s="136"/>
      <c r="D132" s="136"/>
      <c r="E132" s="136"/>
      <c r="F132" s="136"/>
      <c r="G132" s="136"/>
      <c r="H132" s="136"/>
      <c r="I132" s="296" t="s">
        <v>35</v>
      </c>
    </row>
    <row r="133" customFormat="false" ht="15.75" hidden="false" customHeight="false" outlineLevel="0" collapsed="false">
      <c r="A133" s="14" t="s">
        <v>8</v>
      </c>
      <c r="B133" s="15" t="s">
        <v>137</v>
      </c>
      <c r="C133" s="15"/>
      <c r="D133" s="15"/>
      <c r="E133" s="15"/>
      <c r="F133" s="15"/>
      <c r="G133" s="15"/>
      <c r="H133" s="15"/>
      <c r="I133" s="297" t="n">
        <f aca="false">I41</f>
        <v>2610.34</v>
      </c>
    </row>
    <row r="134" customFormat="false" ht="15.75" hidden="false" customHeight="false" outlineLevel="0" collapsed="false">
      <c r="A134" s="14" t="s">
        <v>10</v>
      </c>
      <c r="B134" s="15" t="s">
        <v>138</v>
      </c>
      <c r="C134" s="15"/>
      <c r="D134" s="15"/>
      <c r="E134" s="15"/>
      <c r="F134" s="15"/>
      <c r="G134" s="15"/>
      <c r="H134" s="15"/>
      <c r="I134" s="297" t="n">
        <f aca="false">I50</f>
        <v>649.32</v>
      </c>
    </row>
    <row r="135" customFormat="false" ht="15.75" hidden="false" customHeight="false" outlineLevel="0" collapsed="false">
      <c r="A135" s="14" t="s">
        <v>12</v>
      </c>
      <c r="B135" s="15" t="s">
        <v>139</v>
      </c>
      <c r="C135" s="15"/>
      <c r="D135" s="15"/>
      <c r="E135" s="15"/>
      <c r="F135" s="15"/>
      <c r="G135" s="15"/>
      <c r="H135" s="15"/>
      <c r="I135" s="298" t="n">
        <f aca="false">I55</f>
        <v>206.514375</v>
      </c>
    </row>
    <row r="136" customFormat="false" ht="15.75" hidden="false" customHeight="false" outlineLevel="0" collapsed="false">
      <c r="A136" s="14" t="s">
        <v>14</v>
      </c>
      <c r="B136" s="15" t="s">
        <v>109</v>
      </c>
      <c r="C136" s="15"/>
      <c r="D136" s="15"/>
      <c r="E136" s="15"/>
      <c r="F136" s="15"/>
      <c r="G136" s="15"/>
      <c r="H136" s="15"/>
      <c r="I136" s="297" t="n">
        <f aca="false">I107</f>
        <v>1867.96</v>
      </c>
    </row>
    <row r="137" customFormat="false" ht="15.75" hidden="false" customHeight="false" outlineLevel="0" collapsed="false">
      <c r="A137" s="140" t="s">
        <v>140</v>
      </c>
      <c r="B137" s="140"/>
      <c r="C137" s="140"/>
      <c r="D137" s="140"/>
      <c r="E137" s="140"/>
      <c r="F137" s="140"/>
      <c r="G137" s="140"/>
      <c r="H137" s="140"/>
      <c r="I137" s="299" t="n">
        <f aca="false">SUM(I133:I136)</f>
        <v>5334.134375</v>
      </c>
    </row>
    <row r="138" customFormat="false" ht="15.75" hidden="false" customHeight="false" outlineLevel="0" collapsed="false">
      <c r="A138" s="14" t="s">
        <v>40</v>
      </c>
      <c r="B138" s="15" t="s">
        <v>141</v>
      </c>
      <c r="C138" s="15"/>
      <c r="D138" s="15"/>
      <c r="E138" s="15"/>
      <c r="F138" s="15"/>
      <c r="G138" s="15"/>
      <c r="H138" s="15"/>
      <c r="I138" s="297" t="n">
        <f aca="false">I123</f>
        <v>1593.52</v>
      </c>
    </row>
    <row r="139" customFormat="false" ht="15.75" hidden="false" customHeight="false" outlineLevel="0" collapsed="false">
      <c r="A139" s="143" t="s">
        <v>142</v>
      </c>
      <c r="B139" s="143"/>
      <c r="C139" s="143"/>
      <c r="D139" s="143"/>
      <c r="E139" s="143"/>
      <c r="F139" s="143"/>
      <c r="G139" s="143"/>
      <c r="H139" s="143"/>
      <c r="I139" s="300" t="n">
        <f aca="false">SUM(I137+I138)</f>
        <v>6927.654375</v>
      </c>
    </row>
    <row r="140" customFormat="false" ht="15.75" hidden="false" customHeight="false" outlineLevel="0" collapsed="false">
      <c r="A140" s="301"/>
      <c r="B140" s="301"/>
      <c r="C140" s="301"/>
      <c r="D140" s="301"/>
      <c r="E140" s="301"/>
      <c r="F140" s="301"/>
      <c r="G140" s="301"/>
      <c r="H140" s="301"/>
      <c r="I140" s="301"/>
    </row>
    <row r="141" customFormat="false" ht="15.75" hidden="false" customHeight="false" outlineLevel="0" collapsed="false">
      <c r="A141" s="33" t="s">
        <v>143</v>
      </c>
      <c r="B141" s="33"/>
      <c r="C141" s="33"/>
      <c r="D141" s="33"/>
      <c r="E141" s="33"/>
      <c r="F141" s="33"/>
      <c r="G141" s="33"/>
      <c r="H141" s="33"/>
      <c r="I141" s="33"/>
    </row>
    <row r="142" customFormat="false" ht="15.75" hidden="false" customHeight="false" outlineLevel="0" collapsed="false">
      <c r="A142" s="146" t="s">
        <v>144</v>
      </c>
      <c r="B142" s="146"/>
      <c r="C142" s="146"/>
      <c r="D142" s="146"/>
      <c r="E142" s="146"/>
      <c r="F142" s="146"/>
      <c r="G142" s="146"/>
      <c r="H142" s="146"/>
      <c r="I142" s="146"/>
    </row>
    <row r="143" customFormat="false" ht="63" hidden="false" customHeight="true" outlineLevel="0" collapsed="false">
      <c r="A143" s="64" t="s">
        <v>145</v>
      </c>
      <c r="B143" s="64"/>
      <c r="C143" s="245" t="s">
        <v>146</v>
      </c>
      <c r="D143" s="245"/>
      <c r="E143" s="246" t="s">
        <v>147</v>
      </c>
      <c r="F143" s="245" t="s">
        <v>148</v>
      </c>
      <c r="G143" s="245"/>
      <c r="H143" s="245" t="s">
        <v>149</v>
      </c>
      <c r="I143" s="302" t="s">
        <v>150</v>
      </c>
    </row>
    <row r="144" customFormat="false" ht="16.5" hidden="false" customHeight="true" outlineLevel="0" collapsed="false">
      <c r="A144" s="248" t="s">
        <v>26</v>
      </c>
      <c r="B144" s="248"/>
      <c r="C144" s="249" t="n">
        <f aca="false">I139</f>
        <v>6927.654375</v>
      </c>
      <c r="D144" s="249"/>
      <c r="E144" s="250" t="s">
        <v>216</v>
      </c>
      <c r="F144" s="251" t="n">
        <f aca="false">C144</f>
        <v>6927.654375</v>
      </c>
      <c r="G144" s="251"/>
      <c r="H144" s="252" t="n">
        <v>1</v>
      </c>
      <c r="I144" s="303" t="n">
        <f aca="false">F144*H144</f>
        <v>6927.654375</v>
      </c>
    </row>
    <row r="145" customFormat="false" ht="15.75" hidden="false" customHeight="false" outlineLevel="0" collapsed="false">
      <c r="A145" s="301"/>
      <c r="B145" s="301"/>
      <c r="C145" s="301"/>
      <c r="D145" s="301"/>
      <c r="E145" s="301"/>
      <c r="F145" s="301"/>
      <c r="G145" s="301"/>
      <c r="H145" s="301"/>
      <c r="I145" s="301"/>
    </row>
    <row r="146" customFormat="false" ht="15.75" hidden="false" customHeight="false" outlineLevel="0" collapsed="false">
      <c r="A146" s="33" t="s">
        <v>151</v>
      </c>
      <c r="B146" s="33"/>
      <c r="C146" s="33"/>
      <c r="D146" s="33"/>
      <c r="E146" s="33"/>
      <c r="F146" s="33"/>
      <c r="G146" s="33"/>
      <c r="H146" s="33"/>
      <c r="I146" s="33"/>
    </row>
    <row r="147" customFormat="false" ht="15.75" hidden="false" customHeight="false" outlineLevel="0" collapsed="false">
      <c r="A147" s="146" t="s">
        <v>152</v>
      </c>
      <c r="B147" s="146"/>
      <c r="C147" s="146"/>
      <c r="D147" s="146"/>
      <c r="E147" s="146"/>
      <c r="F147" s="146"/>
      <c r="G147" s="146"/>
      <c r="H147" s="146"/>
      <c r="I147" s="146"/>
    </row>
    <row r="148" customFormat="false" ht="15.75" hidden="false" customHeight="false" outlineLevel="0" collapsed="false">
      <c r="A148" s="157" t="s">
        <v>153</v>
      </c>
      <c r="B148" s="157"/>
      <c r="C148" s="157"/>
      <c r="D148" s="157"/>
      <c r="E148" s="157"/>
      <c r="F148" s="157"/>
      <c r="G148" s="157"/>
      <c r="H148" s="157"/>
      <c r="I148" s="157"/>
    </row>
    <row r="149" customFormat="false" ht="15.75" hidden="false" customHeight="false" outlineLevel="0" collapsed="false">
      <c r="A149" s="158" t="s">
        <v>8</v>
      </c>
      <c r="B149" s="15" t="s">
        <v>154</v>
      </c>
      <c r="C149" s="15"/>
      <c r="D149" s="15"/>
      <c r="E149" s="15"/>
      <c r="F149" s="15"/>
      <c r="G149" s="15"/>
      <c r="H149" s="15"/>
      <c r="I149" s="304" t="n">
        <f aca="false">F144</f>
        <v>6927.654375</v>
      </c>
    </row>
    <row r="150" customFormat="false" ht="15.75" hidden="false" customHeight="false" outlineLevel="0" collapsed="false">
      <c r="A150" s="158" t="s">
        <v>10</v>
      </c>
      <c r="B150" s="15" t="s">
        <v>155</v>
      </c>
      <c r="C150" s="15"/>
      <c r="D150" s="15"/>
      <c r="E150" s="15"/>
      <c r="F150" s="15"/>
      <c r="G150" s="15"/>
      <c r="H150" s="15"/>
      <c r="I150" s="305" t="n">
        <f aca="false">I144</f>
        <v>6927.654375</v>
      </c>
    </row>
    <row r="151" customFormat="false" ht="16.5" hidden="false" customHeight="true" outlineLevel="0" collapsed="false">
      <c r="A151" s="161" t="s">
        <v>12</v>
      </c>
      <c r="B151" s="162" t="s">
        <v>156</v>
      </c>
      <c r="C151" s="162"/>
      <c r="D151" s="162"/>
      <c r="E151" s="162"/>
      <c r="F151" s="162"/>
      <c r="G151" s="162"/>
      <c r="H151" s="162"/>
      <c r="I151" s="306" t="n">
        <f aca="false">I150*12</f>
        <v>83131.8525</v>
      </c>
    </row>
  </sheetData>
  <mergeCells count="156">
    <mergeCell ref="A8:I8"/>
    <mergeCell ref="A9:I9"/>
    <mergeCell ref="A10:I10"/>
    <mergeCell ref="A11:I11"/>
    <mergeCell ref="A12:I12"/>
    <mergeCell ref="A13:I13"/>
    <mergeCell ref="A14:I14"/>
    <mergeCell ref="B15:H15"/>
    <mergeCell ref="B16:H16"/>
    <mergeCell ref="B17:H17"/>
    <mergeCell ref="B18:H18"/>
    <mergeCell ref="A19:I19"/>
    <mergeCell ref="A20:D20"/>
    <mergeCell ref="E20:F20"/>
    <mergeCell ref="G20:I20"/>
    <mergeCell ref="A21:D21"/>
    <mergeCell ref="E21:F22"/>
    <mergeCell ref="G21:I22"/>
    <mergeCell ref="A22:D22"/>
    <mergeCell ref="B23:I23"/>
    <mergeCell ref="A24:I24"/>
    <mergeCell ref="A25:I25"/>
    <mergeCell ref="A26:I26"/>
    <mergeCell ref="B27:H27"/>
    <mergeCell ref="B28:H28"/>
    <mergeCell ref="B29:H29"/>
    <mergeCell ref="B30:H30"/>
    <mergeCell ref="B31:H31"/>
    <mergeCell ref="B32:H32"/>
    <mergeCell ref="B33:H33"/>
    <mergeCell ref="A34:I34"/>
    <mergeCell ref="A35:I35"/>
    <mergeCell ref="B36:H36"/>
    <mergeCell ref="B37:H37"/>
    <mergeCell ref="B38:H38"/>
    <mergeCell ref="B39:H39"/>
    <mergeCell ref="B40:H40"/>
    <mergeCell ref="A41:H41"/>
    <mergeCell ref="A42:I42"/>
    <mergeCell ref="B43:H43"/>
    <mergeCell ref="A44:A46"/>
    <mergeCell ref="B44:H44"/>
    <mergeCell ref="B45:G45"/>
    <mergeCell ref="B46:G46"/>
    <mergeCell ref="A47:A48"/>
    <mergeCell ref="B47:H47"/>
    <mergeCell ref="B48:G48"/>
    <mergeCell ref="B49:H49"/>
    <mergeCell ref="A50:H50"/>
    <mergeCell ref="A51:I51"/>
    <mergeCell ref="A52:I52"/>
    <mergeCell ref="B53:H53"/>
    <mergeCell ref="B54:H54"/>
    <mergeCell ref="A55:H55"/>
    <mergeCell ref="A56:I56"/>
    <mergeCell ref="A57:I57"/>
    <mergeCell ref="B58:G58"/>
    <mergeCell ref="B59:G59"/>
    <mergeCell ref="B60:G60"/>
    <mergeCell ref="B61:G61"/>
    <mergeCell ref="B62:G62"/>
    <mergeCell ref="B63:G63"/>
    <mergeCell ref="B64:G64"/>
    <mergeCell ref="B65:E65"/>
    <mergeCell ref="B66:G66"/>
    <mergeCell ref="A67:G67"/>
    <mergeCell ref="A68:I68"/>
    <mergeCell ref="A69:I69"/>
    <mergeCell ref="A70:I70"/>
    <mergeCell ref="B71:H71"/>
    <mergeCell ref="B72:H72"/>
    <mergeCell ref="A73:H73"/>
    <mergeCell ref="B74:H74"/>
    <mergeCell ref="A75:H75"/>
    <mergeCell ref="A76:I76"/>
    <mergeCell ref="B77:H77"/>
    <mergeCell ref="B78:H78"/>
    <mergeCell ref="B79:H79"/>
    <mergeCell ref="A80:H80"/>
    <mergeCell ref="A81:I81"/>
    <mergeCell ref="B82:H82"/>
    <mergeCell ref="B83:H83"/>
    <mergeCell ref="B84:H84"/>
    <mergeCell ref="B85:H85"/>
    <mergeCell ref="B86:H86"/>
    <mergeCell ref="B87:H87"/>
    <mergeCell ref="B88:H88"/>
    <mergeCell ref="A89:H89"/>
    <mergeCell ref="A90:I90"/>
    <mergeCell ref="B91:H91"/>
    <mergeCell ref="B92:H92"/>
    <mergeCell ref="B93:H93"/>
    <mergeCell ref="B94:H94"/>
    <mergeCell ref="B95:H95"/>
    <mergeCell ref="B96:H96"/>
    <mergeCell ref="A97:H97"/>
    <mergeCell ref="B98:H98"/>
    <mergeCell ref="A99:H99"/>
    <mergeCell ref="A100:I100"/>
    <mergeCell ref="B101:H101"/>
    <mergeCell ref="B102:H102"/>
    <mergeCell ref="B103:H103"/>
    <mergeCell ref="B104:H104"/>
    <mergeCell ref="B105:H105"/>
    <mergeCell ref="B106:H106"/>
    <mergeCell ref="A107:H107"/>
    <mergeCell ref="A108:I108"/>
    <mergeCell ref="B109:G109"/>
    <mergeCell ref="A110:G110"/>
    <mergeCell ref="B111:G111"/>
    <mergeCell ref="A112:G112"/>
    <mergeCell ref="B113:G113"/>
    <mergeCell ref="A114:G114"/>
    <mergeCell ref="A115:A122"/>
    <mergeCell ref="B115:G115"/>
    <mergeCell ref="B116:G116"/>
    <mergeCell ref="B117:G117"/>
    <mergeCell ref="B118:G118"/>
    <mergeCell ref="B119:G119"/>
    <mergeCell ref="B120:G120"/>
    <mergeCell ref="B121:G121"/>
    <mergeCell ref="B122:G122"/>
    <mergeCell ref="A123:H123"/>
    <mergeCell ref="A124:G124"/>
    <mergeCell ref="A125:B126"/>
    <mergeCell ref="C125:I125"/>
    <mergeCell ref="C126:I126"/>
    <mergeCell ref="A127:I127"/>
    <mergeCell ref="A128:I128"/>
    <mergeCell ref="A129:I129"/>
    <mergeCell ref="A130:I130"/>
    <mergeCell ref="A131:I131"/>
    <mergeCell ref="A132:H132"/>
    <mergeCell ref="B133:H133"/>
    <mergeCell ref="B134:H134"/>
    <mergeCell ref="B135:H135"/>
    <mergeCell ref="B136:H136"/>
    <mergeCell ref="A137:H137"/>
    <mergeCell ref="B138:H138"/>
    <mergeCell ref="A139:H139"/>
    <mergeCell ref="A140:I140"/>
    <mergeCell ref="A141:I141"/>
    <mergeCell ref="A142:I142"/>
    <mergeCell ref="A143:B143"/>
    <mergeCell ref="C143:D143"/>
    <mergeCell ref="F143:G143"/>
    <mergeCell ref="A144:B144"/>
    <mergeCell ref="C144:D144"/>
    <mergeCell ref="F144:G144"/>
    <mergeCell ref="A145:I145"/>
    <mergeCell ref="A146:I146"/>
    <mergeCell ref="A147:I147"/>
    <mergeCell ref="A148:I148"/>
    <mergeCell ref="B149:H149"/>
    <mergeCell ref="B150:H150"/>
    <mergeCell ref="B151:H151"/>
  </mergeCells>
  <printOptions headings="false" gridLines="false" gridLinesSet="true" horizontalCentered="false" verticalCentered="false"/>
  <pageMargins left="0.698611111111111" right="0.698611111111111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5" man="true" max="16383" min="0"/>
    <brk id="107" man="true" max="16383" min="0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8"/>
  <sheetViews>
    <sheetView showFormulas="false" showGridLines="true" showRowColHeaders="true" showZeros="true" rightToLeft="false" tabSelected="false" showOutlineSymbols="true" defaultGridColor="true" view="pageBreakPreview" topLeftCell="A1" colorId="64" zoomScale="76" zoomScaleNormal="100" zoomScalePageLayoutView="76" workbookViewId="0">
      <selection pane="topLeft" activeCell="B11" activeCellId="0" sqref="B11"/>
    </sheetView>
  </sheetViews>
  <sheetFormatPr defaultRowHeight="15" zeroHeight="false" outlineLevelRow="0" outlineLevelCol="0"/>
  <cols>
    <col collapsed="false" customWidth="true" hidden="false" outlineLevel="0" max="1" min="1" style="0" width="73.69"/>
    <col collapsed="false" customWidth="true" hidden="false" outlineLevel="0" max="2" min="2" style="0" width="53.99"/>
    <col collapsed="false" customWidth="true" hidden="false" outlineLevel="0" max="3" min="3" style="0" width="15.29"/>
    <col collapsed="false" customWidth="true" hidden="false" outlineLevel="0" max="4" min="4" style="0" width="16.57"/>
    <col collapsed="false" customWidth="true" hidden="false" outlineLevel="0" max="1025" min="5" style="0" width="9.71"/>
  </cols>
  <sheetData>
    <row r="1" customFormat="false" ht="22.5" hidden="false" customHeight="true" outlineLevel="0" collapsed="false">
      <c r="A1" s="164" t="s">
        <v>157</v>
      </c>
      <c r="B1" s="164"/>
    </row>
    <row r="2" customFormat="false" ht="21.75" hidden="false" customHeight="true" outlineLevel="0" collapsed="false">
      <c r="A2" s="165" t="s">
        <v>158</v>
      </c>
      <c r="B2" s="166" t="n">
        <v>1305.17</v>
      </c>
    </row>
    <row r="3" customFormat="false" ht="22.5" hidden="false" customHeight="true" outlineLevel="0" collapsed="false">
      <c r="A3" s="165" t="s">
        <v>159</v>
      </c>
      <c r="B3" s="166" t="n">
        <v>16.73</v>
      </c>
    </row>
    <row r="4" customFormat="false" ht="21" hidden="false" customHeight="true" outlineLevel="0" collapsed="false">
      <c r="A4" s="165" t="s">
        <v>160</v>
      </c>
      <c r="B4" s="166" t="n">
        <v>8.36</v>
      </c>
    </row>
    <row r="5" customFormat="false" ht="24" hidden="false" customHeight="true" outlineLevel="0" collapsed="false">
      <c r="A5" s="167" t="s">
        <v>161</v>
      </c>
      <c r="B5" s="168" t="n">
        <v>15.02</v>
      </c>
      <c r="C5" s="0" t="s">
        <v>162</v>
      </c>
      <c r="D5" s="0" t="s">
        <v>163</v>
      </c>
    </row>
    <row r="6" customFormat="false" ht="13.8" hidden="false" customHeight="false" outlineLevel="0" collapsed="false">
      <c r="A6" s="0" t="s">
        <v>164</v>
      </c>
      <c r="B6" s="169" t="n">
        <v>0.0375</v>
      </c>
      <c r="C6" s="170" t="n">
        <v>66.35</v>
      </c>
      <c r="D6" s="170" t="n">
        <f aca="false">(C6*B6)+C6</f>
        <v>68.838125</v>
      </c>
    </row>
    <row r="8" customFormat="false" ht="15" hidden="false" customHeight="false" outlineLevel="0" collapsed="false">
      <c r="A8" s="0" t="s">
        <v>165</v>
      </c>
    </row>
    <row r="9" customFormat="false" ht="15" hidden="false" customHeight="false" outlineLevel="0" collapsed="false">
      <c r="A9" s="0" t="s">
        <v>166</v>
      </c>
      <c r="B9" s="171" t="n">
        <v>3</v>
      </c>
      <c r="C9" s="0" t="s">
        <v>167</v>
      </c>
    </row>
    <row r="10" customFormat="false" ht="15" hidden="false" customHeight="false" outlineLevel="0" collapsed="false">
      <c r="A10" s="0" t="s">
        <v>168</v>
      </c>
      <c r="B10" s="171" t="n">
        <v>3.65</v>
      </c>
      <c r="C10" s="0" t="s">
        <v>167</v>
      </c>
    </row>
    <row r="11" customFormat="false" ht="15" hidden="false" customHeight="false" outlineLevel="0" collapsed="false">
      <c r="A11" s="0" t="s">
        <v>169</v>
      </c>
      <c r="B11" s="171" t="n">
        <v>3</v>
      </c>
      <c r="C11" s="0" t="s">
        <v>170</v>
      </c>
    </row>
    <row r="12" customFormat="false" ht="15" hidden="false" customHeight="false" outlineLevel="0" collapsed="false">
      <c r="A12" s="0" t="s">
        <v>171</v>
      </c>
      <c r="B12" s="171" t="n">
        <v>2.7</v>
      </c>
      <c r="C12" s="0" t="s">
        <v>167</v>
      </c>
    </row>
    <row r="13" customFormat="false" ht="13.8" hidden="false" customHeight="false" outlineLevel="0" collapsed="false">
      <c r="A13" s="0" t="s">
        <v>172</v>
      </c>
      <c r="B13" s="171" t="n">
        <v>2.74</v>
      </c>
      <c r="C13" s="0" t="s">
        <v>167</v>
      </c>
    </row>
    <row r="14" customFormat="false" ht="15" hidden="false" customHeight="false" outlineLevel="0" collapsed="false">
      <c r="A14" s="0" t="s">
        <v>173</v>
      </c>
      <c r="B14" s="171" t="n">
        <v>3</v>
      </c>
      <c r="C14" s="0" t="s">
        <v>167</v>
      </c>
    </row>
    <row r="15" customFormat="false" ht="15" hidden="false" customHeight="false" outlineLevel="0" collapsed="false">
      <c r="A15" s="0" t="s">
        <v>174</v>
      </c>
      <c r="B15" s="171" t="n">
        <v>3</v>
      </c>
      <c r="C15" s="0" t="s">
        <v>167</v>
      </c>
    </row>
    <row r="16" customFormat="false" ht="15" hidden="false" customHeight="false" outlineLevel="0" collapsed="false">
      <c r="A16" s="0" t="s">
        <v>175</v>
      </c>
      <c r="B16" s="171" t="n">
        <v>3.55</v>
      </c>
      <c r="C16" s="0" t="s">
        <v>167</v>
      </c>
    </row>
    <row r="17" customFormat="false" ht="15" hidden="false" customHeight="false" outlineLevel="0" collapsed="false">
      <c r="A17" s="0" t="s">
        <v>176</v>
      </c>
      <c r="B17" s="171" t="n">
        <v>3.1</v>
      </c>
      <c r="C17" s="0" t="s">
        <v>167</v>
      </c>
    </row>
    <row r="18" customFormat="false" ht="13.8" hidden="false" customHeight="false" outlineLevel="0" collapsed="false">
      <c r="A18" s="0" t="s">
        <v>177</v>
      </c>
      <c r="B18" s="171" t="n">
        <v>3.5</v>
      </c>
      <c r="C18" s="0" t="s">
        <v>167</v>
      </c>
    </row>
  </sheetData>
  <mergeCells count="1">
    <mergeCell ref="A1:B1"/>
  </mergeCells>
  <printOptions headings="false" gridLines="false" gridLinesSet="true" horizontalCentered="false" verticalCentered="false"/>
  <pageMargins left="0.698611111111111" right="0.698611111111111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tabColor rgb="FFE6B9B8"/>
    <pageSetUpPr fitToPage="false"/>
  </sheetPr>
  <dimension ref="A1:N153"/>
  <sheetViews>
    <sheetView showFormulas="false" showGridLines="true" showRowColHeaders="true" showZeros="true" rightToLeft="false" tabSelected="false" showOutlineSymbols="true" defaultGridColor="true" view="pageBreakPreview" topLeftCell="B139" colorId="64" zoomScale="76" zoomScaleNormal="100" zoomScalePageLayoutView="76" workbookViewId="0">
      <selection pane="topLeft" activeCell="I42" activeCellId="0" sqref="I42"/>
    </sheetView>
  </sheetViews>
  <sheetFormatPr defaultRowHeight="15" zeroHeight="false" outlineLevelRow="0" outlineLevelCol="0"/>
  <cols>
    <col collapsed="false" customWidth="true" hidden="false" outlineLevel="0" max="1" min="1" style="344" width="13.7"/>
    <col collapsed="false" customWidth="true" hidden="false" outlineLevel="0" max="2" min="2" style="344" width="22.28"/>
    <col collapsed="false" customWidth="true" hidden="false" outlineLevel="0" max="3" min="3" style="344" width="16.29"/>
    <col collapsed="false" customWidth="true" hidden="false" outlineLevel="0" max="4" min="4" style="344" width="19.14"/>
    <col collapsed="false" customWidth="true" hidden="false" outlineLevel="0" max="5" min="5" style="344" width="19.99"/>
    <col collapsed="false" customWidth="true" hidden="false" outlineLevel="0" max="6" min="6" style="344" width="18"/>
    <col collapsed="false" customWidth="true" hidden="false" outlineLevel="0" max="7" min="7" style="344" width="21.57"/>
    <col collapsed="false" customWidth="true" hidden="false" outlineLevel="0" max="8" min="8" style="344" width="23.15"/>
    <col collapsed="false" customWidth="true" hidden="false" outlineLevel="0" max="9" min="9" style="344" width="52.71"/>
    <col collapsed="false" customWidth="true" hidden="true" outlineLevel="0" max="11" min="10" style="344" width="9"/>
    <col collapsed="false" customWidth="true" hidden="false" outlineLevel="0" max="12" min="12" style="344" width="58.57"/>
    <col collapsed="false" customWidth="true" hidden="false" outlineLevel="0" max="13" min="13" style="344" width="34.71"/>
    <col collapsed="false" customWidth="true" hidden="false" outlineLevel="0" max="1025" min="14" style="344" width="28.57"/>
  </cols>
  <sheetData>
    <row r="1" s="101" customFormat="true" ht="15.75" hidden="false" customHeight="false" outlineLevel="0" collapsed="false">
      <c r="A1" s="173" t="s">
        <v>178</v>
      </c>
      <c r="I1" s="209"/>
    </row>
    <row r="2" s="101" customFormat="true" ht="15.75" hidden="false" customHeight="false" outlineLevel="0" collapsed="false">
      <c r="A2" s="173" t="s">
        <v>179</v>
      </c>
      <c r="I2" s="209"/>
    </row>
    <row r="3" s="101" customFormat="true" ht="15.75" hidden="false" customHeight="false" outlineLevel="0" collapsed="false">
      <c r="A3" s="173" t="s">
        <v>180</v>
      </c>
      <c r="I3" s="209"/>
    </row>
    <row r="4" s="101" customFormat="true" ht="15.75" hidden="false" customHeight="false" outlineLevel="0" collapsed="false">
      <c r="A4" s="173" t="s">
        <v>181</v>
      </c>
      <c r="I4" s="209"/>
    </row>
    <row r="5" s="101" customFormat="true" ht="15.75" hidden="false" customHeight="false" outlineLevel="0" collapsed="false">
      <c r="A5" s="173" t="s">
        <v>182</v>
      </c>
      <c r="I5" s="209"/>
    </row>
    <row r="6" s="101" customFormat="true" ht="15.75" hidden="false" customHeight="false" outlineLevel="0" collapsed="false">
      <c r="A6" s="173" t="s">
        <v>183</v>
      </c>
      <c r="I6" s="209"/>
    </row>
    <row r="7" customFormat="false" ht="15.75" hidden="false" customHeight="false" outlineLevel="0" collapsed="false">
      <c r="A7" s="174" t="s">
        <v>184</v>
      </c>
      <c r="I7" s="171"/>
    </row>
    <row r="8" customFormat="false" ht="16.5" hidden="false" customHeight="true" outlineLevel="0" collapsed="false">
      <c r="A8" s="345" t="s">
        <v>1</v>
      </c>
      <c r="B8" s="345"/>
      <c r="C8" s="345"/>
      <c r="D8" s="345"/>
      <c r="E8" s="345"/>
      <c r="F8" s="345"/>
      <c r="G8" s="345"/>
      <c r="H8" s="345"/>
      <c r="I8" s="345"/>
    </row>
    <row r="9" customFormat="false" ht="15.75" hidden="false" customHeight="true" outlineLevel="0" collapsed="false">
      <c r="A9" s="346" t="s">
        <v>2</v>
      </c>
      <c r="B9" s="346"/>
      <c r="C9" s="346"/>
      <c r="D9" s="346"/>
      <c r="E9" s="346"/>
      <c r="F9" s="346"/>
      <c r="G9" s="346"/>
      <c r="H9" s="346"/>
      <c r="I9" s="346"/>
    </row>
    <row r="10" customFormat="false" ht="16.5" hidden="false" customHeight="true" outlineLevel="0" collapsed="false">
      <c r="A10" s="347" t="s">
        <v>3</v>
      </c>
      <c r="B10" s="347"/>
      <c r="C10" s="347"/>
      <c r="D10" s="347"/>
      <c r="E10" s="347"/>
      <c r="F10" s="347"/>
      <c r="G10" s="347"/>
      <c r="H10" s="347"/>
      <c r="I10" s="347"/>
    </row>
    <row r="11" customFormat="false" ht="15.75" hidden="false" customHeight="true" outlineLevel="0" collapsed="false">
      <c r="A11" s="348" t="s">
        <v>4</v>
      </c>
      <c r="B11" s="348"/>
      <c r="C11" s="348"/>
      <c r="D11" s="348"/>
      <c r="E11" s="348"/>
      <c r="F11" s="348"/>
      <c r="G11" s="348"/>
      <c r="H11" s="348"/>
      <c r="I11" s="348"/>
    </row>
    <row r="12" customFormat="false" ht="15.75" hidden="false" customHeight="true" outlineLevel="0" collapsed="false">
      <c r="A12" s="349" t="s">
        <v>5</v>
      </c>
      <c r="B12" s="349"/>
      <c r="C12" s="349"/>
      <c r="D12" s="349"/>
      <c r="E12" s="349"/>
      <c r="F12" s="349"/>
      <c r="G12" s="349"/>
      <c r="H12" s="349"/>
      <c r="I12" s="349"/>
    </row>
    <row r="13" customFormat="false" ht="16.5" hidden="false" customHeight="true" outlineLevel="0" collapsed="false">
      <c r="A13" s="350" t="s">
        <v>6</v>
      </c>
      <c r="B13" s="350"/>
      <c r="C13" s="350"/>
      <c r="D13" s="350"/>
      <c r="E13" s="350"/>
      <c r="F13" s="350"/>
      <c r="G13" s="350"/>
      <c r="H13" s="350"/>
      <c r="I13" s="350"/>
    </row>
    <row r="14" customFormat="false" ht="16.5" hidden="false" customHeight="true" outlineLevel="0" collapsed="false">
      <c r="A14" s="351" t="s">
        <v>7</v>
      </c>
      <c r="B14" s="351"/>
      <c r="C14" s="351"/>
      <c r="D14" s="351"/>
      <c r="E14" s="351"/>
      <c r="F14" s="351"/>
      <c r="G14" s="351"/>
      <c r="H14" s="351"/>
      <c r="I14" s="351"/>
    </row>
    <row r="15" customFormat="false" ht="15.75" hidden="false" customHeight="true" outlineLevel="0" collapsed="false">
      <c r="A15" s="352" t="s">
        <v>8</v>
      </c>
      <c r="B15" s="353" t="s">
        <v>9</v>
      </c>
      <c r="C15" s="353"/>
      <c r="D15" s="353"/>
      <c r="E15" s="353"/>
      <c r="F15" s="353"/>
      <c r="G15" s="353"/>
      <c r="H15" s="353"/>
      <c r="I15" s="354"/>
      <c r="L15" s="355"/>
    </row>
    <row r="16" customFormat="false" ht="18" hidden="false" customHeight="true" outlineLevel="0" collapsed="false">
      <c r="A16" s="356" t="s">
        <v>10</v>
      </c>
      <c r="B16" s="197" t="s">
        <v>11</v>
      </c>
      <c r="C16" s="197"/>
      <c r="D16" s="197"/>
      <c r="E16" s="197"/>
      <c r="F16" s="197"/>
      <c r="G16" s="197"/>
      <c r="H16" s="197"/>
      <c r="I16" s="184" t="s">
        <v>263</v>
      </c>
      <c r="L16" s="355"/>
    </row>
    <row r="17" customFormat="false" ht="47.25" hidden="false" customHeight="true" outlineLevel="0" collapsed="false">
      <c r="A17" s="356" t="s">
        <v>12</v>
      </c>
      <c r="B17" s="18" t="s">
        <v>13</v>
      </c>
      <c r="C17" s="18"/>
      <c r="D17" s="18"/>
      <c r="E17" s="18"/>
      <c r="F17" s="18"/>
      <c r="G17" s="18"/>
      <c r="H17" s="18"/>
      <c r="I17" s="37" t="s">
        <v>186</v>
      </c>
      <c r="L17" s="355"/>
    </row>
    <row r="18" customFormat="false" ht="16.5" hidden="false" customHeight="true" outlineLevel="0" collapsed="false">
      <c r="A18" s="357" t="s">
        <v>14</v>
      </c>
      <c r="B18" s="162" t="s">
        <v>15</v>
      </c>
      <c r="C18" s="162"/>
      <c r="D18" s="162"/>
      <c r="E18" s="162"/>
      <c r="F18" s="162"/>
      <c r="G18" s="162"/>
      <c r="H18" s="162"/>
      <c r="I18" s="358" t="n">
        <v>12</v>
      </c>
    </row>
    <row r="19" customFormat="false" ht="16.5" hidden="false" customHeight="true" outlineLevel="0" collapsed="false">
      <c r="A19" s="351" t="s">
        <v>16</v>
      </c>
      <c r="B19" s="351"/>
      <c r="C19" s="351"/>
      <c r="D19" s="351"/>
      <c r="E19" s="351"/>
      <c r="F19" s="351"/>
      <c r="G19" s="351"/>
      <c r="H19" s="351"/>
      <c r="I19" s="351"/>
    </row>
    <row r="20" customFormat="false" ht="15.75" hidden="false" customHeight="true" outlineLevel="0" collapsed="false">
      <c r="A20" s="359" t="s">
        <v>17</v>
      </c>
      <c r="B20" s="359"/>
      <c r="C20" s="359"/>
      <c r="D20" s="359"/>
      <c r="E20" s="360" t="s">
        <v>18</v>
      </c>
      <c r="F20" s="360"/>
      <c r="G20" s="361" t="s">
        <v>19</v>
      </c>
      <c r="H20" s="361"/>
      <c r="I20" s="361"/>
    </row>
    <row r="21" customFormat="false" ht="15.75" hidden="false" customHeight="true" outlineLevel="0" collapsed="false">
      <c r="A21" s="26" t="s">
        <v>20</v>
      </c>
      <c r="B21" s="26"/>
      <c r="C21" s="26"/>
      <c r="D21" s="26"/>
      <c r="E21" s="252" t="s">
        <v>21</v>
      </c>
      <c r="F21" s="252"/>
      <c r="G21" s="362" t="n">
        <v>1</v>
      </c>
      <c r="H21" s="362"/>
      <c r="I21" s="362"/>
    </row>
    <row r="22" customFormat="false" ht="29.25" hidden="false" customHeight="true" outlineLevel="0" collapsed="false">
      <c r="A22" s="338" t="s">
        <v>273</v>
      </c>
      <c r="B22" s="338"/>
      <c r="C22" s="338"/>
      <c r="D22" s="338"/>
      <c r="E22" s="252"/>
      <c r="F22" s="252"/>
      <c r="G22" s="362"/>
      <c r="H22" s="362"/>
      <c r="I22" s="362"/>
      <c r="L22" s="363"/>
    </row>
    <row r="23" customFormat="false" ht="15.75" hidden="false" customHeight="false" outlineLevel="0" collapsed="false">
      <c r="A23" s="31"/>
      <c r="B23" s="269"/>
      <c r="C23" s="269"/>
      <c r="D23" s="269"/>
      <c r="E23" s="269"/>
      <c r="F23" s="269"/>
      <c r="G23" s="269"/>
      <c r="H23" s="269"/>
      <c r="I23" s="269"/>
    </row>
    <row r="24" customFormat="false" ht="16.5" hidden="false" customHeight="true" outlineLevel="0" collapsed="false">
      <c r="A24" s="364" t="s">
        <v>22</v>
      </c>
      <c r="B24" s="364"/>
      <c r="C24" s="364"/>
      <c r="D24" s="364"/>
      <c r="E24" s="364"/>
      <c r="F24" s="364"/>
      <c r="G24" s="364"/>
      <c r="H24" s="364"/>
      <c r="I24" s="364"/>
    </row>
    <row r="25" customFormat="false" ht="16.5" hidden="false" customHeight="true" outlineLevel="0" collapsed="false">
      <c r="A25" s="365" t="s">
        <v>23</v>
      </c>
      <c r="B25" s="365"/>
      <c r="C25" s="365"/>
      <c r="D25" s="365"/>
      <c r="E25" s="365"/>
      <c r="F25" s="365"/>
      <c r="G25" s="365"/>
      <c r="H25" s="365"/>
      <c r="I25" s="365"/>
    </row>
    <row r="26" customFormat="false" ht="15.75" hidden="false" customHeight="true" outlineLevel="0" collapsed="false">
      <c r="A26" s="366" t="s">
        <v>24</v>
      </c>
      <c r="B26" s="366"/>
      <c r="C26" s="366"/>
      <c r="D26" s="366"/>
      <c r="E26" s="366"/>
      <c r="F26" s="366"/>
      <c r="G26" s="366"/>
      <c r="H26" s="366"/>
      <c r="I26" s="366"/>
    </row>
    <row r="27" customFormat="false" ht="15.75" hidden="false" customHeight="true" outlineLevel="0" collapsed="false">
      <c r="A27" s="367" t="n">
        <v>1</v>
      </c>
      <c r="B27" s="36" t="s">
        <v>25</v>
      </c>
      <c r="C27" s="36"/>
      <c r="D27" s="36"/>
      <c r="E27" s="36"/>
      <c r="F27" s="36"/>
      <c r="G27" s="36"/>
      <c r="H27" s="36"/>
      <c r="I27" s="37" t="s">
        <v>26</v>
      </c>
    </row>
    <row r="28" customFormat="false" ht="15.75" hidden="false" customHeight="true" outlineLevel="0" collapsed="false">
      <c r="A28" s="367" t="n">
        <v>2</v>
      </c>
      <c r="B28" s="38" t="s">
        <v>27</v>
      </c>
      <c r="C28" s="38"/>
      <c r="D28" s="38"/>
      <c r="E28" s="38"/>
      <c r="F28" s="38"/>
      <c r="G28" s="38"/>
      <c r="H28" s="38"/>
      <c r="I28" s="308" t="n">
        <f aca="false">Dados!B2</f>
        <v>1305.17</v>
      </c>
    </row>
    <row r="29" customFormat="false" ht="15.75" hidden="false" customHeight="true" outlineLevel="0" collapsed="false">
      <c r="A29" s="367" t="n">
        <v>3</v>
      </c>
      <c r="B29" s="38" t="s">
        <v>28</v>
      </c>
      <c r="C29" s="38"/>
      <c r="D29" s="38"/>
      <c r="E29" s="38"/>
      <c r="F29" s="38"/>
      <c r="G29" s="38"/>
      <c r="H29" s="38"/>
      <c r="I29" s="37" t="s">
        <v>188</v>
      </c>
    </row>
    <row r="30" customFormat="false" ht="15.75" hidden="false" customHeight="true" outlineLevel="0" collapsed="false">
      <c r="A30" s="368" t="n">
        <v>4</v>
      </c>
      <c r="B30" s="41" t="s">
        <v>29</v>
      </c>
      <c r="C30" s="41"/>
      <c r="D30" s="41"/>
      <c r="E30" s="41"/>
      <c r="F30" s="41"/>
      <c r="G30" s="41"/>
      <c r="H30" s="41"/>
      <c r="I30" s="311" t="n">
        <v>42005</v>
      </c>
    </row>
    <row r="31" customFormat="false" ht="15.75" hidden="false" customHeight="true" outlineLevel="0" collapsed="false">
      <c r="A31" s="368" t="n">
        <v>5</v>
      </c>
      <c r="B31" s="38" t="s">
        <v>30</v>
      </c>
      <c r="C31" s="38"/>
      <c r="D31" s="38"/>
      <c r="E31" s="38"/>
      <c r="F31" s="38"/>
      <c r="G31" s="38"/>
      <c r="H31" s="38"/>
      <c r="I31" s="369" t="n">
        <f aca="false">I28/220</f>
        <v>5.93259090909091</v>
      </c>
    </row>
    <row r="32" customFormat="false" ht="15.75" hidden="false" customHeight="true" outlineLevel="0" collapsed="false">
      <c r="A32" s="368" t="n">
        <v>6</v>
      </c>
      <c r="B32" s="38" t="s">
        <v>31</v>
      </c>
      <c r="C32" s="38"/>
      <c r="D32" s="38"/>
      <c r="E32" s="38"/>
      <c r="F32" s="38"/>
      <c r="G32" s="38"/>
      <c r="H32" s="38"/>
      <c r="I32" s="369" t="n">
        <f aca="false">I31*1.5</f>
        <v>8.89888636363636</v>
      </c>
    </row>
    <row r="33" customFormat="false" ht="16.5" hidden="false" customHeight="true" outlineLevel="0" collapsed="false">
      <c r="A33" s="357" t="n">
        <v>7</v>
      </c>
      <c r="B33" s="44" t="s">
        <v>32</v>
      </c>
      <c r="C33" s="44"/>
      <c r="D33" s="44"/>
      <c r="E33" s="44"/>
      <c r="F33" s="44"/>
      <c r="G33" s="44"/>
      <c r="H33" s="44"/>
      <c r="I33" s="358" t="n">
        <f aca="false">I31*0.2</f>
        <v>1.18651818181818</v>
      </c>
    </row>
    <row r="34" customFormat="false" ht="15.75" hidden="false" customHeight="false" outlineLevel="0" collapsed="false">
      <c r="A34" s="370"/>
      <c r="B34" s="370"/>
      <c r="C34" s="370"/>
      <c r="D34" s="370"/>
      <c r="E34" s="370"/>
      <c r="F34" s="370"/>
      <c r="G34" s="370"/>
      <c r="H34" s="370"/>
      <c r="I34" s="370"/>
    </row>
    <row r="35" customFormat="false" ht="16.5" hidden="false" customHeight="true" outlineLevel="0" collapsed="false">
      <c r="A35" s="107" t="s">
        <v>33</v>
      </c>
      <c r="B35" s="107"/>
      <c r="C35" s="107"/>
      <c r="D35" s="107"/>
      <c r="E35" s="107"/>
      <c r="F35" s="107"/>
      <c r="G35" s="107"/>
      <c r="H35" s="107"/>
      <c r="I35" s="107"/>
    </row>
    <row r="36" customFormat="false" ht="15.75" hidden="false" customHeight="true" outlineLevel="0" collapsed="false">
      <c r="A36" s="371" t="n">
        <v>1</v>
      </c>
      <c r="B36" s="372" t="s">
        <v>34</v>
      </c>
      <c r="C36" s="372"/>
      <c r="D36" s="372"/>
      <c r="E36" s="372"/>
      <c r="F36" s="372"/>
      <c r="G36" s="372"/>
      <c r="H36" s="372"/>
      <c r="I36" s="373" t="s">
        <v>35</v>
      </c>
      <c r="L36" s="374"/>
    </row>
    <row r="37" customFormat="false" ht="15.75" hidden="false" customHeight="true" outlineLevel="0" collapsed="false">
      <c r="A37" s="356" t="s">
        <v>8</v>
      </c>
      <c r="B37" s="58" t="s">
        <v>36</v>
      </c>
      <c r="C37" s="58"/>
      <c r="D37" s="58"/>
      <c r="E37" s="58"/>
      <c r="F37" s="58"/>
      <c r="G37" s="58"/>
      <c r="H37" s="58"/>
      <c r="I37" s="375" t="n">
        <f aca="false">ROUND(I28*2,2)</f>
        <v>2610.34</v>
      </c>
      <c r="L37" s="374"/>
    </row>
    <row r="38" customFormat="false" ht="33.75" hidden="false" customHeight="true" outlineLevel="0" collapsed="false">
      <c r="A38" s="356" t="s">
        <v>10</v>
      </c>
      <c r="B38" s="54" t="s">
        <v>37</v>
      </c>
      <c r="C38" s="54"/>
      <c r="D38" s="54"/>
      <c r="E38" s="54"/>
      <c r="F38" s="54"/>
      <c r="G38" s="54"/>
      <c r="H38" s="54"/>
      <c r="I38" s="375" t="n">
        <f aca="false">ROUND(I33*8*15*2,2)</f>
        <v>284.76</v>
      </c>
      <c r="L38" s="376"/>
    </row>
    <row r="39" customFormat="false" ht="48" hidden="false" customHeight="true" outlineLevel="0" collapsed="false">
      <c r="A39" s="356" t="s">
        <v>12</v>
      </c>
      <c r="B39" s="54" t="s">
        <v>274</v>
      </c>
      <c r="C39" s="54"/>
      <c r="D39" s="54"/>
      <c r="E39" s="54"/>
      <c r="F39" s="54"/>
      <c r="G39" s="54"/>
      <c r="H39" s="54"/>
      <c r="I39" s="377" t="n">
        <f aca="false">ROUND(I32*11.29*2,2)</f>
        <v>200.94</v>
      </c>
      <c r="L39" s="376"/>
      <c r="M39" s="378"/>
    </row>
    <row r="40" customFormat="false" ht="33.75" hidden="false" customHeight="true" outlineLevel="0" collapsed="false">
      <c r="A40" s="356" t="s">
        <v>14</v>
      </c>
      <c r="B40" s="54" t="s">
        <v>39</v>
      </c>
      <c r="C40" s="54"/>
      <c r="D40" s="54"/>
      <c r="E40" s="54"/>
      <c r="F40" s="54"/>
      <c r="G40" s="54"/>
      <c r="H40" s="54"/>
      <c r="I40" s="375" t="n">
        <f aca="false">ROUND(I32*15*2,2)</f>
        <v>266.97</v>
      </c>
      <c r="L40" s="379"/>
    </row>
    <row r="41" customFormat="false" ht="48.75" hidden="false" customHeight="true" outlineLevel="0" collapsed="false">
      <c r="A41" s="356" t="s">
        <v>40</v>
      </c>
      <c r="B41" s="54" t="s">
        <v>41</v>
      </c>
      <c r="C41" s="54"/>
      <c r="D41" s="54"/>
      <c r="E41" s="54"/>
      <c r="F41" s="54"/>
      <c r="G41" s="54"/>
      <c r="H41" s="54"/>
      <c r="I41" s="375"/>
      <c r="L41" s="379"/>
    </row>
    <row r="42" customFormat="false" ht="19.5" hidden="false" customHeight="true" outlineLevel="0" collapsed="false">
      <c r="A42" s="356" t="s">
        <v>42</v>
      </c>
      <c r="B42" s="58" t="s">
        <v>43</v>
      </c>
      <c r="C42" s="58"/>
      <c r="D42" s="58"/>
      <c r="E42" s="58"/>
      <c r="F42" s="58"/>
      <c r="G42" s="58"/>
      <c r="H42" s="58"/>
      <c r="I42" s="380" t="n">
        <f aca="false">SUM(I38:I41)*0.2</f>
        <v>150.534</v>
      </c>
      <c r="K42" s="381"/>
      <c r="M42" s="379"/>
    </row>
    <row r="43" customFormat="false" ht="21.75" hidden="false" customHeight="true" outlineLevel="0" collapsed="false">
      <c r="A43" s="382" t="s">
        <v>44</v>
      </c>
      <c r="B43" s="382"/>
      <c r="C43" s="382"/>
      <c r="D43" s="382"/>
      <c r="E43" s="382"/>
      <c r="F43" s="382"/>
      <c r="G43" s="382"/>
      <c r="H43" s="382"/>
      <c r="I43" s="383" t="n">
        <f aca="false">SUM(I37:I42)</f>
        <v>3513.544</v>
      </c>
    </row>
    <row r="44" customFormat="false" ht="16.5" hidden="false" customHeight="true" outlineLevel="0" collapsed="false">
      <c r="A44" s="107" t="s">
        <v>45</v>
      </c>
      <c r="B44" s="107"/>
      <c r="C44" s="107"/>
      <c r="D44" s="107"/>
      <c r="E44" s="107"/>
      <c r="F44" s="107"/>
      <c r="G44" s="107"/>
      <c r="H44" s="107"/>
      <c r="I44" s="107"/>
    </row>
    <row r="45" customFormat="false" ht="15.75" hidden="false" customHeight="true" outlineLevel="0" collapsed="false">
      <c r="A45" s="384" t="n">
        <v>2</v>
      </c>
      <c r="B45" s="385" t="s">
        <v>46</v>
      </c>
      <c r="C45" s="385"/>
      <c r="D45" s="385"/>
      <c r="E45" s="385"/>
      <c r="F45" s="385"/>
      <c r="G45" s="385"/>
      <c r="H45" s="385"/>
      <c r="I45" s="373" t="s">
        <v>35</v>
      </c>
    </row>
    <row r="46" customFormat="false" ht="17.25" hidden="false" customHeight="true" outlineLevel="0" collapsed="false">
      <c r="A46" s="386" t="s">
        <v>8</v>
      </c>
      <c r="B46" s="54" t="s">
        <v>275</v>
      </c>
      <c r="C46" s="54"/>
      <c r="D46" s="54"/>
      <c r="E46" s="54"/>
      <c r="F46" s="54"/>
      <c r="G46" s="54"/>
      <c r="H46" s="54"/>
      <c r="I46" s="387" t="n">
        <f aca="false">ROUND((2*H48*H47*15)-(0.06*I37),2)</f>
        <v>23.38</v>
      </c>
      <c r="L46" s="388"/>
    </row>
    <row r="47" customFormat="false" ht="33.75" hidden="false" customHeight="true" outlineLevel="0" collapsed="false">
      <c r="A47" s="386"/>
      <c r="B47" s="277" t="s">
        <v>265</v>
      </c>
      <c r="C47" s="277"/>
      <c r="D47" s="277"/>
      <c r="E47" s="277"/>
      <c r="F47" s="277"/>
      <c r="G47" s="277"/>
      <c r="H47" s="389" t="n">
        <f aca="false">Dados!B15</f>
        <v>3</v>
      </c>
      <c r="I47" s="387"/>
    </row>
    <row r="48" customFormat="false" ht="16.5" hidden="false" customHeight="true" outlineLevel="0" collapsed="false">
      <c r="A48" s="386"/>
      <c r="B48" s="390" t="s">
        <v>49</v>
      </c>
      <c r="C48" s="390"/>
      <c r="D48" s="390"/>
      <c r="E48" s="390"/>
      <c r="F48" s="390"/>
      <c r="G48" s="390"/>
      <c r="H48" s="245" t="n">
        <v>2</v>
      </c>
      <c r="I48" s="387" t="n">
        <v>0</v>
      </c>
    </row>
    <row r="49" customFormat="false" ht="15.75" hidden="false" customHeight="true" outlineLevel="0" collapsed="false">
      <c r="A49" s="386" t="s">
        <v>10</v>
      </c>
      <c r="B49" s="54" t="s">
        <v>276</v>
      </c>
      <c r="C49" s="54"/>
      <c r="D49" s="54"/>
      <c r="E49" s="54"/>
      <c r="F49" s="54"/>
      <c r="G49" s="54"/>
      <c r="H49" s="54"/>
      <c r="I49" s="387" t="n">
        <f aca="false">ROUND((2*15*H50)*(1-0.18),2)</f>
        <v>411.56</v>
      </c>
    </row>
    <row r="50" customFormat="false" ht="15.75" hidden="false" customHeight="true" outlineLevel="0" collapsed="false">
      <c r="A50" s="386"/>
      <c r="B50" s="390" t="s">
        <v>51</v>
      </c>
      <c r="C50" s="390"/>
      <c r="D50" s="390"/>
      <c r="E50" s="390"/>
      <c r="F50" s="390"/>
      <c r="G50" s="390"/>
      <c r="H50" s="391" t="n">
        <f aca="false">Dados!B3</f>
        <v>16.73</v>
      </c>
      <c r="I50" s="392"/>
    </row>
    <row r="51" customFormat="false" ht="30.75" hidden="false" customHeight="true" outlineLevel="0" collapsed="false">
      <c r="A51" s="356" t="s">
        <v>12</v>
      </c>
      <c r="B51" s="58" t="s">
        <v>194</v>
      </c>
      <c r="C51" s="58"/>
      <c r="D51" s="58"/>
      <c r="E51" s="58"/>
      <c r="F51" s="58"/>
      <c r="G51" s="58"/>
      <c r="H51" s="58"/>
      <c r="I51" s="387" t="n">
        <f aca="false">ROUND(Dados!B5*2,2)</f>
        <v>30.04</v>
      </c>
    </row>
    <row r="52" customFormat="false" ht="16.5" hidden="false" customHeight="true" outlineLevel="0" collapsed="false">
      <c r="A52" s="382" t="s">
        <v>53</v>
      </c>
      <c r="B52" s="382"/>
      <c r="C52" s="382"/>
      <c r="D52" s="382"/>
      <c r="E52" s="382"/>
      <c r="F52" s="382"/>
      <c r="G52" s="382"/>
      <c r="H52" s="382"/>
      <c r="I52" s="383" t="n">
        <f aca="false">SUM(I46:I51)</f>
        <v>464.98</v>
      </c>
    </row>
    <row r="53" customFormat="false" ht="19.5" hidden="false" customHeight="true" outlineLevel="0" collapsed="false">
      <c r="A53" s="393" t="s">
        <v>54</v>
      </c>
      <c r="B53" s="393"/>
      <c r="C53" s="393"/>
      <c r="D53" s="393"/>
      <c r="E53" s="393"/>
      <c r="F53" s="393"/>
      <c r="G53" s="393"/>
      <c r="H53" s="393"/>
      <c r="I53" s="393"/>
    </row>
    <row r="54" customFormat="false" ht="16.5" hidden="false" customHeight="true" outlineLevel="0" collapsed="false">
      <c r="A54" s="107" t="s">
        <v>55</v>
      </c>
      <c r="B54" s="107"/>
      <c r="C54" s="107"/>
      <c r="D54" s="107"/>
      <c r="E54" s="107"/>
      <c r="F54" s="107"/>
      <c r="G54" s="107"/>
      <c r="H54" s="107"/>
      <c r="I54" s="107"/>
    </row>
    <row r="55" customFormat="false" ht="15.75" hidden="false" customHeight="true" outlineLevel="0" collapsed="false">
      <c r="A55" s="384" t="n">
        <v>3</v>
      </c>
      <c r="B55" s="385" t="s">
        <v>56</v>
      </c>
      <c r="C55" s="385"/>
      <c r="D55" s="385"/>
      <c r="E55" s="385"/>
      <c r="F55" s="385"/>
      <c r="G55" s="385"/>
      <c r="H55" s="385"/>
      <c r="I55" s="373" t="s">
        <v>35</v>
      </c>
    </row>
    <row r="56" customFormat="false" ht="15.75" hidden="false" customHeight="true" outlineLevel="0" collapsed="false">
      <c r="A56" s="386" t="s">
        <v>8</v>
      </c>
      <c r="B56" s="54" t="s">
        <v>233</v>
      </c>
      <c r="C56" s="54"/>
      <c r="D56" s="54"/>
      <c r="E56" s="54"/>
      <c r="F56" s="54"/>
      <c r="G56" s="54"/>
      <c r="H56" s="54"/>
      <c r="I56" s="394" t="n">
        <f aca="false">Dados!D6*2</f>
        <v>137.67625</v>
      </c>
      <c r="J56" s="395"/>
      <c r="K56" s="396"/>
    </row>
    <row r="57" customFormat="false" ht="16.5" hidden="false" customHeight="true" outlineLevel="0" collapsed="false">
      <c r="A57" s="382" t="s">
        <v>58</v>
      </c>
      <c r="B57" s="382"/>
      <c r="C57" s="382"/>
      <c r="D57" s="382"/>
      <c r="E57" s="382"/>
      <c r="F57" s="382"/>
      <c r="G57" s="382"/>
      <c r="H57" s="382"/>
      <c r="I57" s="397" t="n">
        <f aca="false">SUM(I56:I56)</f>
        <v>137.67625</v>
      </c>
    </row>
    <row r="58" customFormat="false" ht="16.5" hidden="false" customHeight="true" outlineLevel="0" collapsed="false">
      <c r="A58" s="107" t="s">
        <v>59</v>
      </c>
      <c r="B58" s="107"/>
      <c r="C58" s="107"/>
      <c r="D58" s="107"/>
      <c r="E58" s="107"/>
      <c r="F58" s="107"/>
      <c r="G58" s="107"/>
      <c r="H58" s="107"/>
      <c r="I58" s="107"/>
    </row>
    <row r="59" customFormat="false" ht="16.5" hidden="false" customHeight="true" outlineLevel="0" collapsed="false">
      <c r="A59" s="398" t="s">
        <v>60</v>
      </c>
      <c r="B59" s="398"/>
      <c r="C59" s="398"/>
      <c r="D59" s="398"/>
      <c r="E59" s="398"/>
      <c r="F59" s="398"/>
      <c r="G59" s="398"/>
      <c r="H59" s="398"/>
      <c r="I59" s="398"/>
    </row>
    <row r="60" customFormat="false" ht="15.75" hidden="false" customHeight="true" outlineLevel="0" collapsed="false">
      <c r="A60" s="384" t="s">
        <v>61</v>
      </c>
      <c r="B60" s="399" t="s">
        <v>62</v>
      </c>
      <c r="C60" s="399"/>
      <c r="D60" s="399"/>
      <c r="E60" s="399"/>
      <c r="F60" s="399"/>
      <c r="G60" s="399"/>
      <c r="H60" s="400" t="s">
        <v>63</v>
      </c>
      <c r="I60" s="373" t="s">
        <v>35</v>
      </c>
    </row>
    <row r="61" customFormat="false" ht="15.75" hidden="false" customHeight="true" outlineLevel="0" collapsed="false">
      <c r="A61" s="401" t="s">
        <v>8</v>
      </c>
      <c r="B61" s="197" t="s">
        <v>64</v>
      </c>
      <c r="C61" s="197"/>
      <c r="D61" s="197"/>
      <c r="E61" s="197"/>
      <c r="F61" s="197"/>
      <c r="G61" s="197"/>
      <c r="H61" s="402" t="n">
        <v>0.2</v>
      </c>
      <c r="I61" s="375" t="n">
        <f aca="false">ROUND(($I$43-$I$40)*H61,2)</f>
        <v>649.31</v>
      </c>
      <c r="K61" s="388"/>
    </row>
    <row r="62" customFormat="false" ht="15.75" hidden="false" customHeight="true" outlineLevel="0" collapsed="false">
      <c r="A62" s="401" t="s">
        <v>10</v>
      </c>
      <c r="B62" s="197" t="s">
        <v>65</v>
      </c>
      <c r="C62" s="197"/>
      <c r="D62" s="197"/>
      <c r="E62" s="197"/>
      <c r="F62" s="197"/>
      <c r="G62" s="197"/>
      <c r="H62" s="403" t="n">
        <v>0.015</v>
      </c>
      <c r="I62" s="375" t="n">
        <f aca="false">ROUND(($I$43-$I$40)*H62,2)</f>
        <v>48.7</v>
      </c>
      <c r="K62" s="388"/>
    </row>
    <row r="63" customFormat="false" ht="15.75" hidden="false" customHeight="true" outlineLevel="0" collapsed="false">
      <c r="A63" s="401" t="s">
        <v>12</v>
      </c>
      <c r="B63" s="197" t="s">
        <v>66</v>
      </c>
      <c r="C63" s="197"/>
      <c r="D63" s="197"/>
      <c r="E63" s="197"/>
      <c r="F63" s="197"/>
      <c r="G63" s="197"/>
      <c r="H63" s="402" t="n">
        <v>0.01</v>
      </c>
      <c r="I63" s="375" t="n">
        <f aca="false">ROUND(($I$43-$I$40)*H63,2)</f>
        <v>32.47</v>
      </c>
      <c r="K63" s="388"/>
    </row>
    <row r="64" customFormat="false" ht="15.75" hidden="false" customHeight="true" outlineLevel="0" collapsed="false">
      <c r="A64" s="401" t="s">
        <v>14</v>
      </c>
      <c r="B64" s="197" t="s">
        <v>67</v>
      </c>
      <c r="C64" s="197"/>
      <c r="D64" s="197"/>
      <c r="E64" s="197"/>
      <c r="F64" s="197"/>
      <c r="G64" s="197"/>
      <c r="H64" s="404" t="n">
        <v>0.002</v>
      </c>
      <c r="I64" s="375" t="n">
        <f aca="false">ROUND(($I$43-$I$40)*H64,2)</f>
        <v>6.49</v>
      </c>
      <c r="K64" s="388"/>
    </row>
    <row r="65" customFormat="false" ht="15.75" hidden="false" customHeight="true" outlineLevel="0" collapsed="false">
      <c r="A65" s="401" t="s">
        <v>40</v>
      </c>
      <c r="B65" s="197" t="s">
        <v>68</v>
      </c>
      <c r="C65" s="197"/>
      <c r="D65" s="197"/>
      <c r="E65" s="197"/>
      <c r="F65" s="197"/>
      <c r="G65" s="197"/>
      <c r="H65" s="404" t="n">
        <v>0.025</v>
      </c>
      <c r="I65" s="375" t="n">
        <f aca="false">ROUND(($I$43-$I$40)*H65,2)</f>
        <v>81.16</v>
      </c>
      <c r="K65" s="388"/>
    </row>
    <row r="66" customFormat="false" ht="15.75" hidden="false" customHeight="true" outlineLevel="0" collapsed="false">
      <c r="A66" s="401" t="s">
        <v>42</v>
      </c>
      <c r="B66" s="197" t="s">
        <v>69</v>
      </c>
      <c r="C66" s="197"/>
      <c r="D66" s="197"/>
      <c r="E66" s="197"/>
      <c r="F66" s="197"/>
      <c r="G66" s="197"/>
      <c r="H66" s="402" t="n">
        <v>0.08</v>
      </c>
      <c r="I66" s="375" t="n">
        <f aca="false">ROUND(($I$43-$I$40)*H66,2)</f>
        <v>259.73</v>
      </c>
      <c r="K66" s="388"/>
    </row>
    <row r="67" customFormat="false" ht="15.75" hidden="false" customHeight="true" outlineLevel="0" collapsed="false">
      <c r="A67" s="401" t="s">
        <v>70</v>
      </c>
      <c r="B67" s="405" t="s">
        <v>71</v>
      </c>
      <c r="C67" s="405"/>
      <c r="D67" s="405"/>
      <c r="E67" s="405"/>
      <c r="F67" s="406" t="s">
        <v>72</v>
      </c>
      <c r="G67" s="407" t="s">
        <v>196</v>
      </c>
      <c r="H67" s="404" t="n">
        <v>0.015</v>
      </c>
      <c r="I67" s="375" t="n">
        <f aca="false">ROUND(($I$43-$I$40)*H67,2)</f>
        <v>48.7</v>
      </c>
      <c r="K67" s="388"/>
    </row>
    <row r="68" customFormat="false" ht="15.75" hidden="false" customHeight="true" outlineLevel="0" collapsed="false">
      <c r="A68" s="401" t="s">
        <v>74</v>
      </c>
      <c r="B68" s="197" t="s">
        <v>75</v>
      </c>
      <c r="C68" s="197"/>
      <c r="D68" s="197"/>
      <c r="E68" s="197"/>
      <c r="F68" s="197"/>
      <c r="G68" s="197"/>
      <c r="H68" s="404" t="n">
        <v>0.006</v>
      </c>
      <c r="I68" s="375" t="n">
        <f aca="false">ROUND(($I$43-$I$40)*H68,2)</f>
        <v>19.48</v>
      </c>
      <c r="K68" s="388"/>
    </row>
    <row r="69" customFormat="false" ht="15.75" hidden="false" customHeight="true" outlineLevel="0" collapsed="false">
      <c r="A69" s="408" t="s">
        <v>76</v>
      </c>
      <c r="B69" s="408"/>
      <c r="C69" s="408"/>
      <c r="D69" s="408"/>
      <c r="E69" s="408"/>
      <c r="F69" s="408"/>
      <c r="G69" s="408"/>
      <c r="H69" s="409" t="n">
        <f aca="false">SUM(H61:H68)</f>
        <v>0.353</v>
      </c>
      <c r="I69" s="410" t="n">
        <f aca="false">SUM(I61:I68)</f>
        <v>1146.04</v>
      </c>
      <c r="K69" s="388"/>
    </row>
    <row r="70" customFormat="false" ht="15.75" hidden="false" customHeight="true" outlineLevel="0" collapsed="false">
      <c r="A70" s="411" t="s">
        <v>77</v>
      </c>
      <c r="B70" s="411"/>
      <c r="C70" s="411"/>
      <c r="D70" s="411"/>
      <c r="E70" s="411"/>
      <c r="F70" s="411"/>
      <c r="G70" s="411"/>
      <c r="H70" s="411"/>
      <c r="I70" s="411"/>
    </row>
    <row r="71" customFormat="false" ht="16.5" hidden="false" customHeight="true" outlineLevel="0" collapsed="false">
      <c r="A71" s="412" t="s">
        <v>78</v>
      </c>
      <c r="B71" s="412"/>
      <c r="C71" s="412"/>
      <c r="D71" s="412"/>
      <c r="E71" s="412"/>
      <c r="F71" s="412"/>
      <c r="G71" s="412"/>
      <c r="H71" s="412"/>
      <c r="I71" s="412"/>
    </row>
    <row r="72" customFormat="false" ht="16.5" hidden="false" customHeight="true" outlineLevel="0" collapsed="false">
      <c r="A72" s="398" t="s">
        <v>79</v>
      </c>
      <c r="B72" s="398"/>
      <c r="C72" s="398"/>
      <c r="D72" s="398"/>
      <c r="E72" s="398"/>
      <c r="F72" s="398"/>
      <c r="G72" s="398"/>
      <c r="H72" s="398"/>
      <c r="I72" s="398"/>
    </row>
    <row r="73" customFormat="false" ht="15.75" hidden="false" customHeight="true" outlineLevel="0" collapsed="false">
      <c r="A73" s="384" t="s">
        <v>80</v>
      </c>
      <c r="B73" s="400" t="s">
        <v>81</v>
      </c>
      <c r="C73" s="400"/>
      <c r="D73" s="400"/>
      <c r="E73" s="400"/>
      <c r="F73" s="400"/>
      <c r="G73" s="400"/>
      <c r="H73" s="400"/>
      <c r="I73" s="373" t="s">
        <v>35</v>
      </c>
    </row>
    <row r="74" customFormat="false" ht="32.25" hidden="false" customHeight="true" outlineLevel="0" collapsed="false">
      <c r="A74" s="356" t="s">
        <v>8</v>
      </c>
      <c r="B74" s="95" t="s">
        <v>82</v>
      </c>
      <c r="C74" s="95"/>
      <c r="D74" s="95"/>
      <c r="E74" s="95"/>
      <c r="F74" s="95"/>
      <c r="G74" s="95"/>
      <c r="H74" s="95"/>
      <c r="I74" s="413" t="n">
        <f aca="false">ROUND(I43/12,2)</f>
        <v>292.8</v>
      </c>
      <c r="K74" s="388"/>
    </row>
    <row r="75" customFormat="false" ht="15.75" hidden="false" customHeight="true" outlineLevel="0" collapsed="false">
      <c r="A75" s="414" t="s">
        <v>83</v>
      </c>
      <c r="B75" s="414"/>
      <c r="C75" s="414"/>
      <c r="D75" s="414"/>
      <c r="E75" s="414"/>
      <c r="F75" s="414"/>
      <c r="G75" s="414"/>
      <c r="H75" s="414"/>
      <c r="I75" s="375" t="n">
        <f aca="false">SUM(I74:I74)</f>
        <v>292.8</v>
      </c>
      <c r="K75" s="388"/>
    </row>
    <row r="76" customFormat="false" ht="15.75" hidden="false" customHeight="true" outlineLevel="0" collapsed="false">
      <c r="A76" s="356" t="s">
        <v>10</v>
      </c>
      <c r="B76" s="197" t="s">
        <v>84</v>
      </c>
      <c r="C76" s="197"/>
      <c r="D76" s="197"/>
      <c r="E76" s="197"/>
      <c r="F76" s="197"/>
      <c r="G76" s="197"/>
      <c r="H76" s="197"/>
      <c r="I76" s="375" t="n">
        <f aca="false">ROUND(I75*H69,2)</f>
        <v>103.36</v>
      </c>
      <c r="K76" s="388"/>
    </row>
    <row r="77" customFormat="false" ht="16.5" hidden="false" customHeight="true" outlineLevel="0" collapsed="false">
      <c r="A77" s="382" t="s">
        <v>76</v>
      </c>
      <c r="B77" s="382"/>
      <c r="C77" s="382"/>
      <c r="D77" s="382"/>
      <c r="E77" s="382"/>
      <c r="F77" s="382"/>
      <c r="G77" s="382"/>
      <c r="H77" s="382"/>
      <c r="I77" s="383" t="n">
        <f aca="false">SUM(I75:I76)</f>
        <v>396.16</v>
      </c>
      <c r="K77" s="388"/>
    </row>
    <row r="78" customFormat="false" ht="16.5" hidden="false" customHeight="true" outlineLevel="0" collapsed="false">
      <c r="A78" s="398" t="s">
        <v>85</v>
      </c>
      <c r="B78" s="398"/>
      <c r="C78" s="398"/>
      <c r="D78" s="398"/>
      <c r="E78" s="398"/>
      <c r="F78" s="398"/>
      <c r="G78" s="398"/>
      <c r="H78" s="398"/>
      <c r="I78" s="398"/>
    </row>
    <row r="79" customFormat="false" ht="15.75" hidden="false" customHeight="true" outlineLevel="0" collapsed="false">
      <c r="A79" s="384" t="s">
        <v>86</v>
      </c>
      <c r="B79" s="400" t="s">
        <v>87</v>
      </c>
      <c r="C79" s="400"/>
      <c r="D79" s="400"/>
      <c r="E79" s="400"/>
      <c r="F79" s="400"/>
      <c r="G79" s="400"/>
      <c r="H79" s="400"/>
      <c r="I79" s="373" t="s">
        <v>35</v>
      </c>
    </row>
    <row r="80" customFormat="false" ht="15.75" hidden="false" customHeight="true" outlineLevel="0" collapsed="false">
      <c r="A80" s="356" t="s">
        <v>8</v>
      </c>
      <c r="B80" s="58" t="s">
        <v>88</v>
      </c>
      <c r="C80" s="58"/>
      <c r="D80" s="58"/>
      <c r="E80" s="58"/>
      <c r="F80" s="58"/>
      <c r="G80" s="58"/>
      <c r="H80" s="58"/>
      <c r="I80" s="394" t="n">
        <f aca="false">ROUND((((I43+I43/3)*(4/12))/12)*0.02,2)</f>
        <v>2.6</v>
      </c>
    </row>
    <row r="81" customFormat="false" ht="15.75" hidden="false" customHeight="true" outlineLevel="0" collapsed="false">
      <c r="A81" s="356" t="s">
        <v>10</v>
      </c>
      <c r="B81" s="197" t="s">
        <v>89</v>
      </c>
      <c r="C81" s="197"/>
      <c r="D81" s="197"/>
      <c r="E81" s="197"/>
      <c r="F81" s="197"/>
      <c r="G81" s="197"/>
      <c r="H81" s="197"/>
      <c r="I81" s="394" t="n">
        <f aca="false">ROUND(I80*H69,2)</f>
        <v>0.92</v>
      </c>
    </row>
    <row r="82" customFormat="false" ht="16.5" hidden="false" customHeight="true" outlineLevel="0" collapsed="false">
      <c r="A82" s="382" t="s">
        <v>76</v>
      </c>
      <c r="B82" s="382"/>
      <c r="C82" s="382"/>
      <c r="D82" s="382"/>
      <c r="E82" s="382"/>
      <c r="F82" s="382"/>
      <c r="G82" s="382"/>
      <c r="H82" s="382"/>
      <c r="I82" s="383" t="n">
        <f aca="false">SUM(I80:I81)</f>
        <v>3.52</v>
      </c>
    </row>
    <row r="83" customFormat="false" ht="16.5" hidden="false" customHeight="true" outlineLevel="0" collapsed="false">
      <c r="A83" s="398" t="s">
        <v>90</v>
      </c>
      <c r="B83" s="398"/>
      <c r="C83" s="398"/>
      <c r="D83" s="398"/>
      <c r="E83" s="398"/>
      <c r="F83" s="398"/>
      <c r="G83" s="398"/>
      <c r="H83" s="398"/>
      <c r="I83" s="398"/>
    </row>
    <row r="84" customFormat="false" ht="15.75" hidden="false" customHeight="true" outlineLevel="0" collapsed="false">
      <c r="A84" s="384" t="s">
        <v>91</v>
      </c>
      <c r="B84" s="400" t="s">
        <v>92</v>
      </c>
      <c r="C84" s="400"/>
      <c r="D84" s="400"/>
      <c r="E84" s="400"/>
      <c r="F84" s="400"/>
      <c r="G84" s="400"/>
      <c r="H84" s="400"/>
      <c r="I84" s="373" t="s">
        <v>35</v>
      </c>
    </row>
    <row r="85" customFormat="false" ht="15.75" hidden="false" customHeight="true" outlineLevel="0" collapsed="false">
      <c r="A85" s="356" t="s">
        <v>8</v>
      </c>
      <c r="B85" s="99" t="s">
        <v>93</v>
      </c>
      <c r="C85" s="99"/>
      <c r="D85" s="99"/>
      <c r="E85" s="99"/>
      <c r="F85" s="99"/>
      <c r="G85" s="99"/>
      <c r="H85" s="99"/>
      <c r="I85" s="375" t="n">
        <f aca="false">ROUND((I43/12)*(30/30)*0.05,2)</f>
        <v>14.64</v>
      </c>
    </row>
    <row r="86" customFormat="false" ht="15.75" hidden="false" customHeight="true" outlineLevel="0" collapsed="false">
      <c r="A86" s="356" t="s">
        <v>10</v>
      </c>
      <c r="B86" s="197" t="s">
        <v>94</v>
      </c>
      <c r="C86" s="197"/>
      <c r="D86" s="197"/>
      <c r="E86" s="197"/>
      <c r="F86" s="197"/>
      <c r="G86" s="197"/>
      <c r="H86" s="197"/>
      <c r="I86" s="375" t="n">
        <f aca="false">ROUND(I85*H66,2)</f>
        <v>1.17</v>
      </c>
    </row>
    <row r="87" customFormat="false" ht="49.5" hidden="false" customHeight="true" outlineLevel="0" collapsed="false">
      <c r="A87" s="356" t="s">
        <v>12</v>
      </c>
      <c r="B87" s="95" t="s">
        <v>95</v>
      </c>
      <c r="C87" s="95"/>
      <c r="D87" s="95"/>
      <c r="E87" s="95"/>
      <c r="F87" s="95"/>
      <c r="G87" s="95"/>
      <c r="H87" s="95"/>
      <c r="I87" s="413" t="n">
        <f aca="false">ROUND(0.0024*I43,2)</f>
        <v>8.43</v>
      </c>
      <c r="K87" s="388"/>
    </row>
    <row r="88" customFormat="false" ht="30.75" hidden="false" customHeight="true" outlineLevel="0" collapsed="false">
      <c r="A88" s="415" t="s">
        <v>14</v>
      </c>
      <c r="B88" s="99" t="s">
        <v>96</v>
      </c>
      <c r="C88" s="99"/>
      <c r="D88" s="99"/>
      <c r="E88" s="99"/>
      <c r="F88" s="99"/>
      <c r="G88" s="99"/>
      <c r="H88" s="99"/>
      <c r="I88" s="375" t="n">
        <v>0</v>
      </c>
      <c r="N88" s="416"/>
    </row>
    <row r="89" customFormat="false" ht="18" hidden="false" customHeight="true" outlineLevel="0" collapsed="false">
      <c r="A89" s="356" t="s">
        <v>40</v>
      </c>
      <c r="B89" s="197" t="s">
        <v>97</v>
      </c>
      <c r="C89" s="197"/>
      <c r="D89" s="197"/>
      <c r="E89" s="197"/>
      <c r="F89" s="197"/>
      <c r="G89" s="197"/>
      <c r="H89" s="197"/>
      <c r="I89" s="375" t="n">
        <f aca="false">ROUND(I88*H69,2)</f>
        <v>0</v>
      </c>
      <c r="J89" s="355"/>
      <c r="K89" s="355"/>
      <c r="L89" s="417"/>
    </row>
    <row r="90" customFormat="false" ht="48.75" hidden="false" customHeight="true" outlineLevel="0" collapsed="false">
      <c r="A90" s="356" t="s">
        <v>42</v>
      </c>
      <c r="B90" s="95" t="s">
        <v>98</v>
      </c>
      <c r="C90" s="95"/>
      <c r="D90" s="95"/>
      <c r="E90" s="95"/>
      <c r="F90" s="95"/>
      <c r="G90" s="95"/>
      <c r="H90" s="95"/>
      <c r="I90" s="413" t="n">
        <f aca="false">ROUND(0.0476*I43,2)</f>
        <v>167.24</v>
      </c>
      <c r="J90" s="355"/>
      <c r="K90" s="388"/>
      <c r="L90" s="355"/>
    </row>
    <row r="91" customFormat="false" ht="20.25" hidden="false" customHeight="true" outlineLevel="0" collapsed="false">
      <c r="A91" s="382" t="s">
        <v>76</v>
      </c>
      <c r="B91" s="382"/>
      <c r="C91" s="382"/>
      <c r="D91" s="382"/>
      <c r="E91" s="382"/>
      <c r="F91" s="382"/>
      <c r="G91" s="382"/>
      <c r="H91" s="382"/>
      <c r="I91" s="383" t="n">
        <f aca="false">SUM(I85:I90)</f>
        <v>191.48</v>
      </c>
    </row>
    <row r="92" customFormat="false" ht="20.25" hidden="false" customHeight="true" outlineLevel="0" collapsed="false">
      <c r="A92" s="398" t="s">
        <v>99</v>
      </c>
      <c r="B92" s="398"/>
      <c r="C92" s="398"/>
      <c r="D92" s="398"/>
      <c r="E92" s="398"/>
      <c r="F92" s="398"/>
      <c r="G92" s="398"/>
      <c r="H92" s="398"/>
      <c r="I92" s="398"/>
    </row>
    <row r="93" customFormat="false" ht="15.75" hidden="false" customHeight="true" outlineLevel="0" collapsed="false">
      <c r="A93" s="384" t="s">
        <v>100</v>
      </c>
      <c r="B93" s="400" t="s">
        <v>101</v>
      </c>
      <c r="C93" s="400"/>
      <c r="D93" s="400"/>
      <c r="E93" s="400"/>
      <c r="F93" s="400"/>
      <c r="G93" s="400"/>
      <c r="H93" s="400"/>
      <c r="I93" s="373" t="s">
        <v>35</v>
      </c>
    </row>
    <row r="94" customFormat="false" ht="49.5" hidden="false" customHeight="true" outlineLevel="0" collapsed="false">
      <c r="A94" s="356" t="s">
        <v>8</v>
      </c>
      <c r="B94" s="95" t="s">
        <v>102</v>
      </c>
      <c r="C94" s="95"/>
      <c r="D94" s="95"/>
      <c r="E94" s="95"/>
      <c r="F94" s="95"/>
      <c r="G94" s="95"/>
      <c r="H94" s="95"/>
      <c r="I94" s="413" t="n">
        <f aca="false">ROUND(0.121*I43,2)</f>
        <v>425.14</v>
      </c>
      <c r="K94" s="388"/>
    </row>
    <row r="95" customFormat="false" ht="17.25" hidden="false" customHeight="true" outlineLevel="0" collapsed="false">
      <c r="A95" s="356" t="s">
        <v>10</v>
      </c>
      <c r="B95" s="58" t="s">
        <v>103</v>
      </c>
      <c r="C95" s="58"/>
      <c r="D95" s="58"/>
      <c r="E95" s="58"/>
      <c r="F95" s="58"/>
      <c r="G95" s="58"/>
      <c r="H95" s="58"/>
      <c r="I95" s="375" t="n">
        <f aca="false">ROUND(((I43/30)*5)/12,2)</f>
        <v>48.8</v>
      </c>
    </row>
    <row r="96" customFormat="false" ht="16.5" hidden="false" customHeight="true" outlineLevel="0" collapsed="false">
      <c r="A96" s="356" t="s">
        <v>12</v>
      </c>
      <c r="B96" s="58" t="s">
        <v>104</v>
      </c>
      <c r="C96" s="58"/>
      <c r="D96" s="58"/>
      <c r="E96" s="58"/>
      <c r="F96" s="58"/>
      <c r="G96" s="58"/>
      <c r="H96" s="58"/>
      <c r="I96" s="375" t="n">
        <f aca="false">ROUND((((I43/30)*5)/12)*0.015,2)</f>
        <v>0.73</v>
      </c>
    </row>
    <row r="97" customFormat="false" ht="17.25" hidden="false" customHeight="true" outlineLevel="0" collapsed="false">
      <c r="A97" s="356" t="s">
        <v>14</v>
      </c>
      <c r="B97" s="58" t="s">
        <v>105</v>
      </c>
      <c r="C97" s="58"/>
      <c r="D97" s="58"/>
      <c r="E97" s="58"/>
      <c r="F97" s="58"/>
      <c r="G97" s="58"/>
      <c r="H97" s="58"/>
      <c r="I97" s="375" t="n">
        <f aca="false">ROUND(((I43/30)*2.96)/12,2)</f>
        <v>28.89</v>
      </c>
    </row>
    <row r="98" customFormat="false" ht="16.5" hidden="false" customHeight="true" outlineLevel="0" collapsed="false">
      <c r="A98" s="356" t="s">
        <v>40</v>
      </c>
      <c r="B98" s="58" t="s">
        <v>106</v>
      </c>
      <c r="C98" s="58"/>
      <c r="D98" s="58"/>
      <c r="E98" s="58"/>
      <c r="F98" s="58"/>
      <c r="G98" s="58"/>
      <c r="H98" s="58"/>
      <c r="I98" s="375" t="n">
        <f aca="false">ROUND((((I43/30)*15)/12)*0.0078,2)</f>
        <v>1.14</v>
      </c>
    </row>
    <row r="99" customFormat="false" ht="18" hidden="false" customHeight="true" outlineLevel="0" collapsed="false">
      <c r="A99" s="414" t="s">
        <v>83</v>
      </c>
      <c r="B99" s="414"/>
      <c r="C99" s="414"/>
      <c r="D99" s="414"/>
      <c r="E99" s="414"/>
      <c r="F99" s="414"/>
      <c r="G99" s="414"/>
      <c r="H99" s="414"/>
      <c r="I99" s="392" t="n">
        <f aca="false">SUM(I94:I98)</f>
        <v>504.7</v>
      </c>
      <c r="K99" s="388"/>
    </row>
    <row r="100" customFormat="false" ht="15.75" hidden="false" customHeight="true" outlineLevel="0" collapsed="false">
      <c r="A100" s="356" t="s">
        <v>70</v>
      </c>
      <c r="B100" s="197" t="s">
        <v>107</v>
      </c>
      <c r="C100" s="197"/>
      <c r="D100" s="197"/>
      <c r="E100" s="197"/>
      <c r="F100" s="197"/>
      <c r="G100" s="197"/>
      <c r="H100" s="197"/>
      <c r="I100" s="418" t="n">
        <f aca="false">ROUND(I99*H69,2)</f>
        <v>178.16</v>
      </c>
      <c r="K100" s="388"/>
    </row>
    <row r="101" customFormat="false" ht="16.5" hidden="true" customHeight="true" outlineLevel="0" collapsed="false">
      <c r="A101" s="382" t="s">
        <v>76</v>
      </c>
      <c r="B101" s="382"/>
      <c r="C101" s="382"/>
      <c r="D101" s="382"/>
      <c r="E101" s="382"/>
      <c r="F101" s="382"/>
      <c r="G101" s="382"/>
      <c r="H101" s="382"/>
      <c r="I101" s="383" t="n">
        <f aca="false">SUM(I99+I100)</f>
        <v>682.86</v>
      </c>
      <c r="K101" s="388"/>
    </row>
    <row r="102" customFormat="false" ht="16.5" hidden="false" customHeight="true" outlineLevel="0" collapsed="false">
      <c r="A102" s="419" t="s">
        <v>108</v>
      </c>
      <c r="B102" s="419"/>
      <c r="C102" s="419"/>
      <c r="D102" s="419"/>
      <c r="E102" s="419"/>
      <c r="F102" s="419"/>
      <c r="G102" s="419"/>
      <c r="H102" s="419"/>
      <c r="I102" s="419"/>
    </row>
    <row r="103" customFormat="false" ht="15.75" hidden="false" customHeight="true" outlineLevel="0" collapsed="false">
      <c r="A103" s="384" t="n">
        <v>4</v>
      </c>
      <c r="B103" s="400" t="s">
        <v>109</v>
      </c>
      <c r="C103" s="400"/>
      <c r="D103" s="400"/>
      <c r="E103" s="400"/>
      <c r="F103" s="400"/>
      <c r="G103" s="400"/>
      <c r="H103" s="400"/>
      <c r="I103" s="373" t="s">
        <v>35</v>
      </c>
    </row>
    <row r="104" customFormat="false" ht="15.75" hidden="false" customHeight="true" outlineLevel="0" collapsed="false">
      <c r="A104" s="356" t="s">
        <v>61</v>
      </c>
      <c r="B104" s="197" t="s">
        <v>62</v>
      </c>
      <c r="C104" s="197"/>
      <c r="D104" s="197"/>
      <c r="E104" s="197"/>
      <c r="F104" s="197"/>
      <c r="G104" s="197"/>
      <c r="H104" s="197"/>
      <c r="I104" s="394" t="n">
        <f aca="false">I69</f>
        <v>1146.04</v>
      </c>
    </row>
    <row r="105" customFormat="false" ht="15.75" hidden="false" customHeight="true" outlineLevel="0" collapsed="false">
      <c r="A105" s="356" t="s">
        <v>80</v>
      </c>
      <c r="B105" s="197" t="s">
        <v>110</v>
      </c>
      <c r="C105" s="197"/>
      <c r="D105" s="197"/>
      <c r="E105" s="197"/>
      <c r="F105" s="197"/>
      <c r="G105" s="197"/>
      <c r="H105" s="197"/>
      <c r="I105" s="394" t="n">
        <f aca="false">I77</f>
        <v>396.16</v>
      </c>
    </row>
    <row r="106" customFormat="false" ht="15.75" hidden="false" customHeight="true" outlineLevel="0" collapsed="false">
      <c r="A106" s="356" t="s">
        <v>86</v>
      </c>
      <c r="B106" s="197" t="s">
        <v>87</v>
      </c>
      <c r="C106" s="197"/>
      <c r="D106" s="197"/>
      <c r="E106" s="197"/>
      <c r="F106" s="197"/>
      <c r="G106" s="197"/>
      <c r="H106" s="197"/>
      <c r="I106" s="394" t="n">
        <f aca="false">I82</f>
        <v>3.52</v>
      </c>
    </row>
    <row r="107" customFormat="false" ht="15.75" hidden="false" customHeight="true" outlineLevel="0" collapsed="false">
      <c r="A107" s="356" t="s">
        <v>91</v>
      </c>
      <c r="B107" s="197" t="s">
        <v>111</v>
      </c>
      <c r="C107" s="197"/>
      <c r="D107" s="197"/>
      <c r="E107" s="197"/>
      <c r="F107" s="197"/>
      <c r="G107" s="197"/>
      <c r="H107" s="197"/>
      <c r="I107" s="394" t="n">
        <f aca="false">I91</f>
        <v>191.48</v>
      </c>
    </row>
    <row r="108" customFormat="false" ht="15.75" hidden="false" customHeight="true" outlineLevel="0" collapsed="false">
      <c r="A108" s="356" t="s">
        <v>100</v>
      </c>
      <c r="B108" s="197" t="s">
        <v>112</v>
      </c>
      <c r="C108" s="197"/>
      <c r="D108" s="197"/>
      <c r="E108" s="197"/>
      <c r="F108" s="197"/>
      <c r="G108" s="197"/>
      <c r="H108" s="197"/>
      <c r="I108" s="394" t="n">
        <f aca="false">I101</f>
        <v>682.86</v>
      </c>
    </row>
    <row r="109" customFormat="false" ht="16.5" hidden="false" customHeight="true" outlineLevel="0" collapsed="false">
      <c r="A109" s="382" t="s">
        <v>76</v>
      </c>
      <c r="B109" s="382"/>
      <c r="C109" s="382"/>
      <c r="D109" s="382"/>
      <c r="E109" s="382"/>
      <c r="F109" s="382"/>
      <c r="G109" s="382"/>
      <c r="H109" s="382"/>
      <c r="I109" s="383" t="n">
        <f aca="false">SUM(I104:I108)</f>
        <v>2420.06</v>
      </c>
      <c r="K109" s="420"/>
    </row>
    <row r="110" customFormat="false" ht="16.5" hidden="false" customHeight="true" outlineLevel="0" collapsed="false">
      <c r="A110" s="107" t="s">
        <v>113</v>
      </c>
      <c r="B110" s="107"/>
      <c r="C110" s="107"/>
      <c r="D110" s="107"/>
      <c r="E110" s="107"/>
      <c r="F110" s="107"/>
      <c r="G110" s="107"/>
      <c r="H110" s="107"/>
      <c r="I110" s="107"/>
    </row>
    <row r="111" customFormat="false" ht="15.75" hidden="false" customHeight="true" outlineLevel="0" collapsed="false">
      <c r="A111" s="384" t="n">
        <v>5</v>
      </c>
      <c r="B111" s="385" t="s">
        <v>114</v>
      </c>
      <c r="C111" s="385"/>
      <c r="D111" s="385"/>
      <c r="E111" s="385"/>
      <c r="F111" s="385"/>
      <c r="G111" s="385"/>
      <c r="H111" s="421" t="s">
        <v>63</v>
      </c>
      <c r="I111" s="373" t="s">
        <v>35</v>
      </c>
    </row>
    <row r="112" customFormat="false" ht="49.5" hidden="false" customHeight="true" outlineLevel="0" collapsed="false">
      <c r="A112" s="109" t="s">
        <v>115</v>
      </c>
      <c r="B112" s="109"/>
      <c r="C112" s="109"/>
      <c r="D112" s="109"/>
      <c r="E112" s="109"/>
      <c r="F112" s="109"/>
      <c r="G112" s="109"/>
      <c r="H112" s="422" t="n">
        <v>0</v>
      </c>
      <c r="I112" s="423" t="n">
        <f aca="false">(I43+I52+I57+I109)</f>
        <v>6536.26025</v>
      </c>
    </row>
    <row r="113" customFormat="false" ht="15.75" hidden="false" customHeight="true" outlineLevel="0" collapsed="false">
      <c r="A113" s="356" t="s">
        <v>8</v>
      </c>
      <c r="B113" s="197" t="s">
        <v>116</v>
      </c>
      <c r="C113" s="197"/>
      <c r="D113" s="197"/>
      <c r="E113" s="197"/>
      <c r="F113" s="197"/>
      <c r="G113" s="197"/>
      <c r="H113" s="424" t="n">
        <f aca="false">'Dom Pedrito 4.2'!H110</f>
        <v>0.1207</v>
      </c>
      <c r="I113" s="375" t="n">
        <f aca="false">ROUND(I112*H113,2)</f>
        <v>788.93</v>
      </c>
      <c r="J113" s="425"/>
    </row>
    <row r="114" customFormat="false" ht="48" hidden="false" customHeight="true" outlineLevel="0" collapsed="false">
      <c r="A114" s="109" t="s">
        <v>117</v>
      </c>
      <c r="B114" s="109"/>
      <c r="C114" s="109"/>
      <c r="D114" s="109"/>
      <c r="E114" s="109"/>
      <c r="F114" s="109"/>
      <c r="G114" s="109"/>
      <c r="H114" s="426" t="n">
        <v>0</v>
      </c>
      <c r="I114" s="427" t="n">
        <f aca="false">I112+I113</f>
        <v>7325.19025</v>
      </c>
      <c r="J114" s="425"/>
    </row>
    <row r="115" customFormat="false" ht="15.75" hidden="false" customHeight="true" outlineLevel="0" collapsed="false">
      <c r="A115" s="356" t="s">
        <v>10</v>
      </c>
      <c r="B115" s="197" t="s">
        <v>118</v>
      </c>
      <c r="C115" s="197"/>
      <c r="D115" s="197"/>
      <c r="E115" s="197"/>
      <c r="F115" s="197"/>
      <c r="G115" s="197"/>
      <c r="H115" s="424" t="n">
        <f aca="false">'Dom Pedrito 4.2'!H112</f>
        <v>0.0818</v>
      </c>
      <c r="I115" s="375" t="n">
        <f aca="false">ROUND(I114*H115,2)</f>
        <v>599.2</v>
      </c>
      <c r="J115" s="428"/>
    </row>
    <row r="116" customFormat="false" ht="49.5" hidden="false" customHeight="true" outlineLevel="0" collapsed="false">
      <c r="A116" s="109" t="s">
        <v>119</v>
      </c>
      <c r="B116" s="109"/>
      <c r="C116" s="109"/>
      <c r="D116" s="109"/>
      <c r="E116" s="109"/>
      <c r="F116" s="109"/>
      <c r="G116" s="109"/>
      <c r="H116" s="429" t="n">
        <v>0</v>
      </c>
      <c r="I116" s="430" t="n">
        <f aca="false">I114+I115</f>
        <v>7924.39025</v>
      </c>
      <c r="J116" s="428"/>
    </row>
    <row r="117" customFormat="false" ht="15.75" hidden="false" customHeight="true" outlineLevel="0" collapsed="false">
      <c r="A117" s="356" t="s">
        <v>12</v>
      </c>
      <c r="B117" s="197" t="s">
        <v>120</v>
      </c>
      <c r="C117" s="197"/>
      <c r="D117" s="197"/>
      <c r="E117" s="197"/>
      <c r="F117" s="197"/>
      <c r="G117" s="197"/>
      <c r="H117" s="431" t="s">
        <v>198</v>
      </c>
      <c r="I117" s="432" t="s">
        <v>198</v>
      </c>
      <c r="J117" s="428"/>
    </row>
    <row r="118" customFormat="false" ht="15.75" hidden="false" customHeight="true" outlineLevel="0" collapsed="false">
      <c r="A118" s="356"/>
      <c r="B118" s="197" t="s">
        <v>121</v>
      </c>
      <c r="C118" s="197"/>
      <c r="D118" s="197"/>
      <c r="E118" s="197"/>
      <c r="F118" s="197"/>
      <c r="G118" s="197"/>
      <c r="H118" s="431" t="s">
        <v>198</v>
      </c>
      <c r="I118" s="432" t="s">
        <v>198</v>
      </c>
    </row>
    <row r="119" customFormat="false" ht="30.75" hidden="false" customHeight="true" outlineLevel="0" collapsed="false">
      <c r="A119" s="356"/>
      <c r="B119" s="67" t="s">
        <v>199</v>
      </c>
      <c r="C119" s="67"/>
      <c r="D119" s="67"/>
      <c r="E119" s="67"/>
      <c r="F119" s="67"/>
      <c r="G119" s="67"/>
      <c r="H119" s="433" t="n">
        <v>0.03</v>
      </c>
      <c r="I119" s="375" t="n">
        <f aca="false">ROUND(($I$116/(1-H126))*H119,2)</f>
        <v>254.67</v>
      </c>
    </row>
    <row r="120" customFormat="false" ht="32.25" hidden="false" customHeight="true" outlineLevel="0" collapsed="false">
      <c r="A120" s="356"/>
      <c r="B120" s="67" t="s">
        <v>200</v>
      </c>
      <c r="C120" s="67"/>
      <c r="D120" s="67"/>
      <c r="E120" s="67"/>
      <c r="F120" s="67"/>
      <c r="G120" s="67"/>
      <c r="H120" s="433" t="n">
        <v>0.0065</v>
      </c>
      <c r="I120" s="375" t="n">
        <f aca="false">ROUND(($I$116/(1-H126))*H120,2)</f>
        <v>55.18</v>
      </c>
      <c r="K120" s="388"/>
    </row>
    <row r="121" customFormat="false" ht="32.25" hidden="false" customHeight="true" outlineLevel="0" collapsed="false">
      <c r="A121" s="356"/>
      <c r="B121" s="122" t="s">
        <v>124</v>
      </c>
      <c r="C121" s="122"/>
      <c r="D121" s="122"/>
      <c r="E121" s="122"/>
      <c r="F121" s="122"/>
      <c r="G121" s="122"/>
      <c r="H121" s="433" t="s">
        <v>198</v>
      </c>
      <c r="I121" s="432" t="s">
        <v>198</v>
      </c>
      <c r="K121" s="388"/>
    </row>
    <row r="122" customFormat="false" ht="15.75" hidden="false" customHeight="true" outlineLevel="0" collapsed="false">
      <c r="A122" s="356"/>
      <c r="B122" s="197" t="s">
        <v>125</v>
      </c>
      <c r="C122" s="197"/>
      <c r="D122" s="197"/>
      <c r="E122" s="197"/>
      <c r="F122" s="197"/>
      <c r="G122" s="197"/>
      <c r="H122" s="431" t="s">
        <v>198</v>
      </c>
      <c r="I122" s="432" t="s">
        <v>198</v>
      </c>
    </row>
    <row r="123" customFormat="false" ht="15.75" hidden="false" customHeight="true" outlineLevel="0" collapsed="false">
      <c r="A123" s="356"/>
      <c r="B123" s="197" t="s">
        <v>126</v>
      </c>
      <c r="C123" s="197"/>
      <c r="D123" s="197"/>
      <c r="E123" s="197"/>
      <c r="F123" s="197"/>
      <c r="G123" s="197"/>
      <c r="H123" s="431" t="s">
        <v>198</v>
      </c>
      <c r="I123" s="432" t="s">
        <v>198</v>
      </c>
      <c r="K123" s="388"/>
    </row>
    <row r="124" customFormat="false" ht="15.75" hidden="false" customHeight="true" outlineLevel="0" collapsed="false">
      <c r="A124" s="356"/>
      <c r="B124" s="58" t="s">
        <v>268</v>
      </c>
      <c r="C124" s="58"/>
      <c r="D124" s="58"/>
      <c r="E124" s="58"/>
      <c r="F124" s="58"/>
      <c r="G124" s="58"/>
      <c r="H124" s="434" t="n">
        <v>0.03</v>
      </c>
      <c r="I124" s="375" t="n">
        <f aca="false">ROUND(($I$116/(1-H126))*H124,2)</f>
        <v>254.67</v>
      </c>
    </row>
    <row r="125" customFormat="false" ht="15.75" hidden="false" customHeight="true" outlineLevel="0" collapsed="false">
      <c r="A125" s="435" t="s">
        <v>76</v>
      </c>
      <c r="B125" s="435"/>
      <c r="C125" s="435"/>
      <c r="D125" s="435"/>
      <c r="E125" s="435"/>
      <c r="F125" s="435"/>
      <c r="G125" s="435"/>
      <c r="H125" s="435"/>
      <c r="I125" s="436" t="n">
        <f aca="false">I113+I115+I119+I120+I124</f>
        <v>1952.65</v>
      </c>
    </row>
    <row r="126" customFormat="false" ht="15.75" hidden="false" customHeight="true" outlineLevel="0" collapsed="false">
      <c r="A126" s="437" t="s">
        <v>128</v>
      </c>
      <c r="B126" s="437"/>
      <c r="C126" s="437"/>
      <c r="D126" s="437"/>
      <c r="E126" s="437"/>
      <c r="F126" s="437"/>
      <c r="G126" s="437"/>
      <c r="H126" s="438" t="n">
        <f aca="false">SUM(H119:H124)</f>
        <v>0.0665</v>
      </c>
      <c r="I126" s="439" t="n">
        <f aca="false">SUM(I119+I120+I124)</f>
        <v>564.52</v>
      </c>
    </row>
    <row r="127" customFormat="false" ht="15.75" hidden="false" customHeight="true" outlineLevel="0" collapsed="false">
      <c r="A127" s="440" t="s">
        <v>129</v>
      </c>
      <c r="B127" s="440"/>
      <c r="C127" s="441" t="s">
        <v>130</v>
      </c>
      <c r="D127" s="441"/>
      <c r="E127" s="441"/>
      <c r="F127" s="441"/>
      <c r="G127" s="441"/>
      <c r="H127" s="441"/>
      <c r="I127" s="441"/>
    </row>
    <row r="128" customFormat="false" ht="15.75" hidden="false" customHeight="true" outlineLevel="0" collapsed="false">
      <c r="A128" s="440"/>
      <c r="B128" s="440"/>
      <c r="C128" s="442" t="s">
        <v>131</v>
      </c>
      <c r="D128" s="442"/>
      <c r="E128" s="442"/>
      <c r="F128" s="442"/>
      <c r="G128" s="442"/>
      <c r="H128" s="442"/>
      <c r="I128" s="442"/>
    </row>
    <row r="129" customFormat="false" ht="15.75" hidden="false" customHeight="true" outlineLevel="0" collapsed="false">
      <c r="A129" s="443" t="s">
        <v>132</v>
      </c>
      <c r="B129" s="443"/>
      <c r="C129" s="443"/>
      <c r="D129" s="443"/>
      <c r="E129" s="443"/>
      <c r="F129" s="443"/>
      <c r="G129" s="443"/>
      <c r="H129" s="443"/>
      <c r="I129" s="443"/>
    </row>
    <row r="130" customFormat="false" ht="16.5" hidden="false" customHeight="true" outlineLevel="0" collapsed="false">
      <c r="A130" s="412" t="s">
        <v>133</v>
      </c>
      <c r="B130" s="412"/>
      <c r="C130" s="412"/>
      <c r="D130" s="412"/>
      <c r="E130" s="412"/>
      <c r="F130" s="412"/>
      <c r="G130" s="412"/>
      <c r="H130" s="412"/>
      <c r="I130" s="412"/>
    </row>
    <row r="131" customFormat="false" ht="15.75" hidden="false" customHeight="false" outlineLevel="0" collapsed="false">
      <c r="A131" s="444"/>
      <c r="B131" s="444"/>
      <c r="C131" s="444"/>
      <c r="D131" s="444"/>
      <c r="E131" s="444"/>
      <c r="F131" s="444"/>
      <c r="G131" s="444"/>
      <c r="H131" s="444"/>
      <c r="I131" s="444"/>
    </row>
    <row r="132" customFormat="false" ht="15.75" hidden="false" customHeight="true" outlineLevel="0" collapsed="false">
      <c r="A132" s="364" t="s">
        <v>134</v>
      </c>
      <c r="B132" s="364"/>
      <c r="C132" s="364"/>
      <c r="D132" s="364"/>
      <c r="E132" s="364"/>
      <c r="F132" s="364"/>
      <c r="G132" s="364"/>
      <c r="H132" s="364"/>
      <c r="I132" s="364"/>
    </row>
    <row r="133" customFormat="false" ht="16.5" hidden="false" customHeight="true" outlineLevel="0" collapsed="false">
      <c r="A133" s="445" t="s">
        <v>135</v>
      </c>
      <c r="B133" s="445"/>
      <c r="C133" s="445"/>
      <c r="D133" s="445"/>
      <c r="E133" s="445"/>
      <c r="F133" s="445"/>
      <c r="G133" s="445"/>
      <c r="H133" s="445"/>
      <c r="I133" s="445"/>
    </row>
    <row r="134" customFormat="false" ht="15.75" hidden="false" customHeight="true" outlineLevel="0" collapsed="false">
      <c r="A134" s="446" t="s">
        <v>136</v>
      </c>
      <c r="B134" s="446"/>
      <c r="C134" s="446"/>
      <c r="D134" s="446"/>
      <c r="E134" s="446"/>
      <c r="F134" s="446"/>
      <c r="G134" s="446"/>
      <c r="H134" s="446"/>
      <c r="I134" s="447" t="s">
        <v>35</v>
      </c>
    </row>
    <row r="135" customFormat="false" ht="15.75" hidden="false" customHeight="true" outlineLevel="0" collapsed="false">
      <c r="A135" s="367" t="s">
        <v>8</v>
      </c>
      <c r="B135" s="36" t="s">
        <v>137</v>
      </c>
      <c r="C135" s="36"/>
      <c r="D135" s="36"/>
      <c r="E135" s="36"/>
      <c r="F135" s="36"/>
      <c r="G135" s="36"/>
      <c r="H135" s="36"/>
      <c r="I135" s="448" t="n">
        <f aca="false">I43</f>
        <v>3513.544</v>
      </c>
    </row>
    <row r="136" customFormat="false" ht="15.75" hidden="false" customHeight="true" outlineLevel="0" collapsed="false">
      <c r="A136" s="367" t="s">
        <v>10</v>
      </c>
      <c r="B136" s="36" t="s">
        <v>138</v>
      </c>
      <c r="C136" s="36"/>
      <c r="D136" s="36"/>
      <c r="E136" s="36"/>
      <c r="F136" s="36"/>
      <c r="G136" s="36"/>
      <c r="H136" s="36"/>
      <c r="I136" s="448" t="n">
        <f aca="false">I52</f>
        <v>464.98</v>
      </c>
    </row>
    <row r="137" customFormat="false" ht="15.75" hidden="false" customHeight="true" outlineLevel="0" collapsed="false">
      <c r="A137" s="367" t="s">
        <v>12</v>
      </c>
      <c r="B137" s="36" t="s">
        <v>139</v>
      </c>
      <c r="C137" s="36"/>
      <c r="D137" s="36"/>
      <c r="E137" s="36"/>
      <c r="F137" s="36"/>
      <c r="G137" s="36"/>
      <c r="H137" s="36"/>
      <c r="I137" s="449" t="n">
        <f aca="false">I57</f>
        <v>137.67625</v>
      </c>
    </row>
    <row r="138" customFormat="false" ht="15.75" hidden="false" customHeight="true" outlineLevel="0" collapsed="false">
      <c r="A138" s="367" t="s">
        <v>14</v>
      </c>
      <c r="B138" s="36" t="s">
        <v>109</v>
      </c>
      <c r="C138" s="36"/>
      <c r="D138" s="36"/>
      <c r="E138" s="36"/>
      <c r="F138" s="36"/>
      <c r="G138" s="36"/>
      <c r="H138" s="36"/>
      <c r="I138" s="448" t="n">
        <f aca="false">I109</f>
        <v>2420.06</v>
      </c>
    </row>
    <row r="139" customFormat="false" ht="15.75" hidden="false" customHeight="true" outlineLevel="0" collapsed="false">
      <c r="A139" s="450" t="s">
        <v>140</v>
      </c>
      <c r="B139" s="450"/>
      <c r="C139" s="450"/>
      <c r="D139" s="450"/>
      <c r="E139" s="450"/>
      <c r="F139" s="450"/>
      <c r="G139" s="450"/>
      <c r="H139" s="450"/>
      <c r="I139" s="451" t="n">
        <f aca="false">SUM(I135:I138)</f>
        <v>6536.26025</v>
      </c>
    </row>
    <row r="140" customFormat="false" ht="15.75" hidden="false" customHeight="true" outlineLevel="0" collapsed="false">
      <c r="A140" s="367" t="s">
        <v>40</v>
      </c>
      <c r="B140" s="36" t="s">
        <v>141</v>
      </c>
      <c r="C140" s="36"/>
      <c r="D140" s="36"/>
      <c r="E140" s="36"/>
      <c r="F140" s="36"/>
      <c r="G140" s="36"/>
      <c r="H140" s="36"/>
      <c r="I140" s="448" t="n">
        <f aca="false">I125</f>
        <v>1952.65</v>
      </c>
    </row>
    <row r="141" customFormat="false" ht="16.5" hidden="false" customHeight="true" outlineLevel="0" collapsed="false">
      <c r="A141" s="452" t="s">
        <v>142</v>
      </c>
      <c r="B141" s="452"/>
      <c r="C141" s="452"/>
      <c r="D141" s="452"/>
      <c r="E141" s="452"/>
      <c r="F141" s="452"/>
      <c r="G141" s="452"/>
      <c r="H141" s="452"/>
      <c r="I141" s="453" t="n">
        <f aca="false">SUM(I139+I140)</f>
        <v>8488.91025</v>
      </c>
    </row>
    <row r="142" customFormat="false" ht="15.75" hidden="false" customHeight="false" outlineLevel="0" collapsed="false">
      <c r="A142" s="454"/>
      <c r="B142" s="454"/>
      <c r="C142" s="454"/>
      <c r="D142" s="454"/>
      <c r="E142" s="454"/>
      <c r="F142" s="454"/>
      <c r="G142" s="454"/>
      <c r="H142" s="454"/>
      <c r="I142" s="454"/>
    </row>
    <row r="143" customFormat="false" ht="15.75" hidden="false" customHeight="true" outlineLevel="0" collapsed="false">
      <c r="A143" s="364" t="s">
        <v>143</v>
      </c>
      <c r="B143" s="364"/>
      <c r="C143" s="364"/>
      <c r="D143" s="364"/>
      <c r="E143" s="364"/>
      <c r="F143" s="364"/>
      <c r="G143" s="364"/>
      <c r="H143" s="364"/>
      <c r="I143" s="364"/>
    </row>
    <row r="144" customFormat="false" ht="15.75" hidden="false" customHeight="true" outlineLevel="0" collapsed="false">
      <c r="A144" s="455" t="s">
        <v>144</v>
      </c>
      <c r="B144" s="455"/>
      <c r="C144" s="455"/>
      <c r="D144" s="455"/>
      <c r="E144" s="455"/>
      <c r="F144" s="455"/>
      <c r="G144" s="455"/>
      <c r="H144" s="455"/>
      <c r="I144" s="455"/>
    </row>
    <row r="145" customFormat="false" ht="63" hidden="false" customHeight="true" outlineLevel="0" collapsed="false">
      <c r="A145" s="386" t="s">
        <v>145</v>
      </c>
      <c r="B145" s="386"/>
      <c r="C145" s="245" t="s">
        <v>146</v>
      </c>
      <c r="D145" s="245"/>
      <c r="E145" s="246" t="s">
        <v>147</v>
      </c>
      <c r="F145" s="245" t="s">
        <v>148</v>
      </c>
      <c r="G145" s="245"/>
      <c r="H145" s="245" t="s">
        <v>149</v>
      </c>
      <c r="I145" s="247" t="s">
        <v>150</v>
      </c>
    </row>
    <row r="146" customFormat="false" ht="16.5" hidden="false" customHeight="true" outlineLevel="0" collapsed="false">
      <c r="A146" s="248" t="s">
        <v>26</v>
      </c>
      <c r="B146" s="248"/>
      <c r="C146" s="456" t="n">
        <f aca="false">I141</f>
        <v>8488.91025</v>
      </c>
      <c r="D146" s="456"/>
      <c r="E146" s="457" t="n">
        <v>2</v>
      </c>
      <c r="F146" s="458" t="n">
        <f aca="false">C146</f>
        <v>8488.91025</v>
      </c>
      <c r="G146" s="458"/>
      <c r="H146" s="252" t="n">
        <v>1</v>
      </c>
      <c r="I146" s="253" t="n">
        <f aca="false">F146*H146</f>
        <v>8488.91025</v>
      </c>
    </row>
    <row r="147" customFormat="false" ht="15.75" hidden="false" customHeight="false" outlineLevel="0" collapsed="false">
      <c r="A147" s="454"/>
      <c r="B147" s="454"/>
      <c r="C147" s="454"/>
      <c r="D147" s="454"/>
      <c r="E147" s="454"/>
      <c r="F147" s="454"/>
      <c r="G147" s="454"/>
      <c r="H147" s="454"/>
      <c r="I147" s="454"/>
    </row>
    <row r="148" customFormat="false" ht="15.75" hidden="false" customHeight="true" outlineLevel="0" collapsed="false">
      <c r="A148" s="364" t="s">
        <v>151</v>
      </c>
      <c r="B148" s="364"/>
      <c r="C148" s="364"/>
      <c r="D148" s="364"/>
      <c r="E148" s="364"/>
      <c r="F148" s="364"/>
      <c r="G148" s="364"/>
      <c r="H148" s="364"/>
      <c r="I148" s="364"/>
    </row>
    <row r="149" customFormat="false" ht="16.5" hidden="false" customHeight="true" outlineLevel="0" collapsed="false">
      <c r="A149" s="455" t="s">
        <v>152</v>
      </c>
      <c r="B149" s="455"/>
      <c r="C149" s="455"/>
      <c r="D149" s="455"/>
      <c r="E149" s="455"/>
      <c r="F149" s="455"/>
      <c r="G149" s="455"/>
      <c r="H149" s="455"/>
      <c r="I149" s="455"/>
    </row>
    <row r="150" customFormat="false" ht="15.75" hidden="false" customHeight="true" outlineLevel="0" collapsed="false">
      <c r="A150" s="459" t="s">
        <v>153</v>
      </c>
      <c r="B150" s="459"/>
      <c r="C150" s="459"/>
      <c r="D150" s="459"/>
      <c r="E150" s="459"/>
      <c r="F150" s="459"/>
      <c r="G150" s="459"/>
      <c r="H150" s="459"/>
      <c r="I150" s="459"/>
    </row>
    <row r="151" customFormat="false" ht="15.75" hidden="false" customHeight="true" outlineLevel="0" collapsed="false">
      <c r="A151" s="460" t="s">
        <v>8</v>
      </c>
      <c r="B151" s="36" t="s">
        <v>154</v>
      </c>
      <c r="C151" s="36"/>
      <c r="D151" s="36"/>
      <c r="E151" s="36"/>
      <c r="F151" s="36"/>
      <c r="G151" s="36"/>
      <c r="H151" s="36"/>
      <c r="I151" s="461" t="n">
        <f aca="false">F146</f>
        <v>8488.91025</v>
      </c>
    </row>
    <row r="152" customFormat="false" ht="15.75" hidden="false" customHeight="true" outlineLevel="0" collapsed="false">
      <c r="A152" s="460" t="s">
        <v>10</v>
      </c>
      <c r="B152" s="36" t="s">
        <v>155</v>
      </c>
      <c r="C152" s="36"/>
      <c r="D152" s="36"/>
      <c r="E152" s="36"/>
      <c r="F152" s="36"/>
      <c r="G152" s="36"/>
      <c r="H152" s="36"/>
      <c r="I152" s="462" t="n">
        <f aca="false">I146</f>
        <v>8488.91025</v>
      </c>
    </row>
    <row r="153" customFormat="false" ht="16.5" hidden="false" customHeight="true" outlineLevel="0" collapsed="false">
      <c r="A153" s="463" t="s">
        <v>12</v>
      </c>
      <c r="B153" s="162" t="s">
        <v>156</v>
      </c>
      <c r="C153" s="162"/>
      <c r="D153" s="162"/>
      <c r="E153" s="162"/>
      <c r="F153" s="162"/>
      <c r="G153" s="162"/>
      <c r="H153" s="162"/>
      <c r="I153" s="464" t="n">
        <f aca="false">I152*12</f>
        <v>101866.923</v>
      </c>
    </row>
  </sheetData>
  <mergeCells count="158">
    <mergeCell ref="A8:I8"/>
    <mergeCell ref="A9:I9"/>
    <mergeCell ref="A10:I10"/>
    <mergeCell ref="A11:I11"/>
    <mergeCell ref="A12:I12"/>
    <mergeCell ref="A13:I13"/>
    <mergeCell ref="A14:I14"/>
    <mergeCell ref="B15:H15"/>
    <mergeCell ref="B16:H16"/>
    <mergeCell ref="B17:H17"/>
    <mergeCell ref="B18:H18"/>
    <mergeCell ref="A19:I19"/>
    <mergeCell ref="A20:D20"/>
    <mergeCell ref="E20:F20"/>
    <mergeCell ref="G20:I20"/>
    <mergeCell ref="A21:D21"/>
    <mergeCell ref="E21:F22"/>
    <mergeCell ref="G21:I22"/>
    <mergeCell ref="A22:D22"/>
    <mergeCell ref="B23:I23"/>
    <mergeCell ref="A24:I24"/>
    <mergeCell ref="A25:I25"/>
    <mergeCell ref="A26:I26"/>
    <mergeCell ref="B27:H27"/>
    <mergeCell ref="B28:H28"/>
    <mergeCell ref="B29:H29"/>
    <mergeCell ref="B30:H30"/>
    <mergeCell ref="B31:H31"/>
    <mergeCell ref="B32:H32"/>
    <mergeCell ref="B33:H33"/>
    <mergeCell ref="A34:I34"/>
    <mergeCell ref="A35:I35"/>
    <mergeCell ref="B36:H36"/>
    <mergeCell ref="B37:H37"/>
    <mergeCell ref="B38:H38"/>
    <mergeCell ref="B39:H39"/>
    <mergeCell ref="B40:H40"/>
    <mergeCell ref="B41:H41"/>
    <mergeCell ref="B42:H42"/>
    <mergeCell ref="A43:H43"/>
    <mergeCell ref="A44:I44"/>
    <mergeCell ref="B45:H45"/>
    <mergeCell ref="A46:A48"/>
    <mergeCell ref="B46:H46"/>
    <mergeCell ref="B47:G47"/>
    <mergeCell ref="B48:G48"/>
    <mergeCell ref="A49:A50"/>
    <mergeCell ref="B49:H49"/>
    <mergeCell ref="B50:G50"/>
    <mergeCell ref="B51:H51"/>
    <mergeCell ref="A52:H52"/>
    <mergeCell ref="A53:I53"/>
    <mergeCell ref="A54:I54"/>
    <mergeCell ref="B55:H55"/>
    <mergeCell ref="B56:H56"/>
    <mergeCell ref="A57:H57"/>
    <mergeCell ref="A58:I58"/>
    <mergeCell ref="A59:I59"/>
    <mergeCell ref="B60:G60"/>
    <mergeCell ref="B61:G61"/>
    <mergeCell ref="B62:G62"/>
    <mergeCell ref="B63:G63"/>
    <mergeCell ref="B64:G64"/>
    <mergeCell ref="B65:G65"/>
    <mergeCell ref="B66:G66"/>
    <mergeCell ref="B67:E67"/>
    <mergeCell ref="B68:G68"/>
    <mergeCell ref="A69:G69"/>
    <mergeCell ref="A70:I70"/>
    <mergeCell ref="A71:I71"/>
    <mergeCell ref="A72:I72"/>
    <mergeCell ref="B73:H73"/>
    <mergeCell ref="B74:H74"/>
    <mergeCell ref="A75:H75"/>
    <mergeCell ref="B76:H76"/>
    <mergeCell ref="A77:H77"/>
    <mergeCell ref="A78:I78"/>
    <mergeCell ref="B79:H79"/>
    <mergeCell ref="B80:H80"/>
    <mergeCell ref="B81:H81"/>
    <mergeCell ref="A82:H82"/>
    <mergeCell ref="A83:I83"/>
    <mergeCell ref="B84:H84"/>
    <mergeCell ref="B85:H85"/>
    <mergeCell ref="B86:H86"/>
    <mergeCell ref="B87:H87"/>
    <mergeCell ref="B88:H88"/>
    <mergeCell ref="B89:H89"/>
    <mergeCell ref="B90:H90"/>
    <mergeCell ref="A91:H91"/>
    <mergeCell ref="A92:I92"/>
    <mergeCell ref="B93:H93"/>
    <mergeCell ref="B94:H94"/>
    <mergeCell ref="B95:H95"/>
    <mergeCell ref="B96:H96"/>
    <mergeCell ref="B97:H97"/>
    <mergeCell ref="B98:H98"/>
    <mergeCell ref="A99:H99"/>
    <mergeCell ref="B100:H100"/>
    <mergeCell ref="A101:H101"/>
    <mergeCell ref="A102:I102"/>
    <mergeCell ref="B103:H103"/>
    <mergeCell ref="B104:H104"/>
    <mergeCell ref="B105:H105"/>
    <mergeCell ref="B106:H106"/>
    <mergeCell ref="B107:H107"/>
    <mergeCell ref="B108:H108"/>
    <mergeCell ref="A109:H109"/>
    <mergeCell ref="A110:I110"/>
    <mergeCell ref="B111:G111"/>
    <mergeCell ref="A112:G112"/>
    <mergeCell ref="B113:G113"/>
    <mergeCell ref="A114:G114"/>
    <mergeCell ref="B115:G115"/>
    <mergeCell ref="A116:G116"/>
    <mergeCell ref="A117:A124"/>
    <mergeCell ref="B117:G117"/>
    <mergeCell ref="B118:G118"/>
    <mergeCell ref="B119:G119"/>
    <mergeCell ref="B120:G120"/>
    <mergeCell ref="B121:G121"/>
    <mergeCell ref="B122:G122"/>
    <mergeCell ref="B123:G123"/>
    <mergeCell ref="B124:G124"/>
    <mergeCell ref="A125:H125"/>
    <mergeCell ref="A126:G126"/>
    <mergeCell ref="A127:B128"/>
    <mergeCell ref="C127:I127"/>
    <mergeCell ref="C128:I128"/>
    <mergeCell ref="A129:I129"/>
    <mergeCell ref="A130:I130"/>
    <mergeCell ref="A131:I131"/>
    <mergeCell ref="A132:I132"/>
    <mergeCell ref="A133:I133"/>
    <mergeCell ref="A134:H134"/>
    <mergeCell ref="B135:H135"/>
    <mergeCell ref="B136:H136"/>
    <mergeCell ref="B137:H137"/>
    <mergeCell ref="B138:H138"/>
    <mergeCell ref="A139:H139"/>
    <mergeCell ref="B140:H140"/>
    <mergeCell ref="A141:H141"/>
    <mergeCell ref="A142:I142"/>
    <mergeCell ref="A143:I143"/>
    <mergeCell ref="A144:I144"/>
    <mergeCell ref="A145:B145"/>
    <mergeCell ref="C145:D145"/>
    <mergeCell ref="F145:G145"/>
    <mergeCell ref="A146:B146"/>
    <mergeCell ref="C146:D146"/>
    <mergeCell ref="F146:G146"/>
    <mergeCell ref="A147:I147"/>
    <mergeCell ref="A148:I148"/>
    <mergeCell ref="A149:I149"/>
    <mergeCell ref="A150:I150"/>
    <mergeCell ref="B151:H151"/>
    <mergeCell ref="B152:H152"/>
    <mergeCell ref="B153:H153"/>
  </mergeCells>
  <printOptions headings="false" gridLines="false" gridLinesSet="true" horizontalCentered="false" verticalCentered="false"/>
  <pageMargins left="0.698611111111111" right="0.698611111111111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7" man="true" max="16383" min="0"/>
    <brk id="109" man="true" max="16383" min="0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N152"/>
  <sheetViews>
    <sheetView showFormulas="false" showGridLines="true" showRowColHeaders="true" showZeros="true" rightToLeft="false" tabSelected="false" showOutlineSymbols="true" defaultGridColor="true" view="pageBreakPreview" topLeftCell="A136" colorId="64" zoomScale="76" zoomScaleNormal="100" zoomScalePageLayoutView="76" workbookViewId="0">
      <selection pane="topLeft" activeCell="I32" activeCellId="0" sqref="I32"/>
    </sheetView>
  </sheetViews>
  <sheetFormatPr defaultRowHeight="15" zeroHeight="false" outlineLevelRow="0" outlineLevelCol="0"/>
  <cols>
    <col collapsed="false" customWidth="true" hidden="false" outlineLevel="0" max="1" min="1" style="1" width="15.88"/>
    <col collapsed="false" customWidth="true" hidden="false" outlineLevel="0" max="2" min="2" style="1" width="21.57"/>
    <col collapsed="false" customWidth="true" hidden="false" outlineLevel="0" max="3" min="3" style="1" width="16.29"/>
    <col collapsed="false" customWidth="true" hidden="false" outlineLevel="0" max="4" min="4" style="1" width="18.85"/>
    <col collapsed="false" customWidth="true" hidden="false" outlineLevel="0" max="5" min="5" style="1" width="17.59"/>
    <col collapsed="false" customWidth="true" hidden="false" outlineLevel="0" max="6" min="6" style="1" width="18.58"/>
    <col collapsed="false" customWidth="true" hidden="false" outlineLevel="0" max="7" min="7" style="1" width="17.71"/>
    <col collapsed="false" customWidth="true" hidden="false" outlineLevel="0" max="8" min="8" style="1" width="25.57"/>
    <col collapsed="false" customWidth="true" hidden="false" outlineLevel="0" max="9" min="9" style="1" width="51.86"/>
    <col collapsed="false" customWidth="true" hidden="true" outlineLevel="0" max="11" min="10" style="1" width="9"/>
    <col collapsed="false" customWidth="true" hidden="false" outlineLevel="0" max="12" min="12" style="1" width="58.57"/>
    <col collapsed="false" customWidth="true" hidden="false" outlineLevel="0" max="1025" min="13" style="1" width="28.57"/>
  </cols>
  <sheetData>
    <row r="1" s="101" customFormat="true" ht="15.75" hidden="false" customHeight="false" outlineLevel="0" collapsed="false">
      <c r="A1" s="173" t="s">
        <v>178</v>
      </c>
      <c r="I1" s="261"/>
    </row>
    <row r="2" s="101" customFormat="true" ht="15.75" hidden="false" customHeight="false" outlineLevel="0" collapsed="false">
      <c r="A2" s="173" t="s">
        <v>179</v>
      </c>
      <c r="I2" s="261"/>
    </row>
    <row r="3" s="101" customFormat="true" ht="15.75" hidden="false" customHeight="false" outlineLevel="0" collapsed="false">
      <c r="A3" s="173" t="s">
        <v>180</v>
      </c>
      <c r="I3" s="261"/>
    </row>
    <row r="4" s="101" customFormat="true" ht="15.75" hidden="false" customHeight="false" outlineLevel="0" collapsed="false">
      <c r="A4" s="173" t="s">
        <v>181</v>
      </c>
      <c r="I4" s="261"/>
    </row>
    <row r="5" s="101" customFormat="true" ht="15.75" hidden="false" customHeight="false" outlineLevel="0" collapsed="false">
      <c r="A5" s="173" t="s">
        <v>182</v>
      </c>
      <c r="I5" s="261"/>
    </row>
    <row r="6" s="101" customFormat="true" ht="15.75" hidden="false" customHeight="false" outlineLevel="0" collapsed="false">
      <c r="A6" s="173" t="s">
        <v>183</v>
      </c>
      <c r="I6" s="261"/>
    </row>
    <row r="7" customFormat="false" ht="15.75" hidden="false" customHeight="false" outlineLevel="0" collapsed="false">
      <c r="A7" s="174" t="s">
        <v>184</v>
      </c>
      <c r="I7" s="262"/>
    </row>
    <row r="8" customFormat="false" ht="15.75" hidden="false" customHeight="false" outlineLevel="0" collapsed="false">
      <c r="A8" s="263" t="s">
        <v>1</v>
      </c>
      <c r="B8" s="263"/>
      <c r="C8" s="263"/>
      <c r="D8" s="263"/>
      <c r="E8" s="263"/>
      <c r="F8" s="263"/>
      <c r="G8" s="263"/>
      <c r="H8" s="263"/>
      <c r="I8" s="263"/>
    </row>
    <row r="9" customFormat="false" ht="15.75" hidden="false" customHeight="false" outlineLevel="0" collapsed="false">
      <c r="A9" s="4" t="s">
        <v>2</v>
      </c>
      <c r="B9" s="4"/>
      <c r="C9" s="4"/>
      <c r="D9" s="4"/>
      <c r="E9" s="4"/>
      <c r="F9" s="4"/>
      <c r="G9" s="4"/>
      <c r="H9" s="4"/>
      <c r="I9" s="4"/>
    </row>
    <row r="10" customFormat="false" ht="15.75" hidden="false" customHeight="false" outlineLevel="0" collapsed="false">
      <c r="A10" s="5" t="s">
        <v>3</v>
      </c>
      <c r="B10" s="5"/>
      <c r="C10" s="5"/>
      <c r="D10" s="5"/>
      <c r="E10" s="5"/>
      <c r="F10" s="5"/>
      <c r="G10" s="5"/>
      <c r="H10" s="5"/>
      <c r="I10" s="5"/>
    </row>
    <row r="11" customFormat="false" ht="15.75" hidden="false" customHeight="false" outlineLevel="0" collapsed="false">
      <c r="A11" s="6" t="s">
        <v>4</v>
      </c>
      <c r="B11" s="6"/>
      <c r="C11" s="6"/>
      <c r="D11" s="6"/>
      <c r="E11" s="6"/>
      <c r="F11" s="6"/>
      <c r="G11" s="6"/>
      <c r="H11" s="6"/>
      <c r="I11" s="6"/>
    </row>
    <row r="12" customFormat="false" ht="15.75" hidden="false" customHeight="false" outlineLevel="0" collapsed="false">
      <c r="A12" s="7" t="s">
        <v>5</v>
      </c>
      <c r="B12" s="7"/>
      <c r="C12" s="7"/>
      <c r="D12" s="7"/>
      <c r="E12" s="7"/>
      <c r="F12" s="7"/>
      <c r="G12" s="7"/>
      <c r="H12" s="7"/>
      <c r="I12" s="7"/>
    </row>
    <row r="13" customFormat="false" ht="15.75" hidden="false" customHeight="false" outlineLevel="0" collapsed="false">
      <c r="A13" s="8" t="s">
        <v>6</v>
      </c>
      <c r="B13" s="8"/>
      <c r="C13" s="8"/>
      <c r="D13" s="8"/>
      <c r="E13" s="8"/>
      <c r="F13" s="8"/>
      <c r="G13" s="8"/>
      <c r="H13" s="8"/>
      <c r="I13" s="8"/>
    </row>
    <row r="14" customFormat="false" ht="15.75" hidden="false" customHeight="false" outlineLevel="0" collapsed="false">
      <c r="A14" s="179" t="s">
        <v>7</v>
      </c>
      <c r="B14" s="179"/>
      <c r="C14" s="179"/>
      <c r="D14" s="179"/>
      <c r="E14" s="179"/>
      <c r="F14" s="179"/>
      <c r="G14" s="179"/>
      <c r="H14" s="179"/>
      <c r="I14" s="179"/>
    </row>
    <row r="15" customFormat="false" ht="15.75" hidden="false" customHeight="false" outlineLevel="0" collapsed="false">
      <c r="A15" s="10" t="s">
        <v>8</v>
      </c>
      <c r="B15" s="11" t="s">
        <v>9</v>
      </c>
      <c r="C15" s="11"/>
      <c r="D15" s="11"/>
      <c r="E15" s="11"/>
      <c r="F15" s="11"/>
      <c r="G15" s="11"/>
      <c r="H15" s="11"/>
      <c r="I15" s="264"/>
      <c r="L15" s="13"/>
    </row>
    <row r="16" customFormat="false" ht="15.75" hidden="false" customHeight="false" outlineLevel="0" collapsed="false">
      <c r="A16" s="14" t="s">
        <v>10</v>
      </c>
      <c r="B16" s="15" t="s">
        <v>11</v>
      </c>
      <c r="C16" s="15"/>
      <c r="D16" s="15"/>
      <c r="E16" s="15"/>
      <c r="F16" s="15"/>
      <c r="G16" s="15"/>
      <c r="H16" s="15"/>
      <c r="I16" s="265" t="s">
        <v>277</v>
      </c>
      <c r="L16" s="13"/>
    </row>
    <row r="17" customFormat="false" ht="47.25" hidden="false" customHeight="true" outlineLevel="0" collapsed="false">
      <c r="A17" s="17" t="s">
        <v>12</v>
      </c>
      <c r="B17" s="18" t="s">
        <v>13</v>
      </c>
      <c r="C17" s="18"/>
      <c r="D17" s="18"/>
      <c r="E17" s="18"/>
      <c r="F17" s="18"/>
      <c r="G17" s="18"/>
      <c r="H17" s="18"/>
      <c r="I17" s="266" t="s">
        <v>186</v>
      </c>
      <c r="L17" s="13"/>
    </row>
    <row r="18" customFormat="false" ht="15.75" hidden="false" customHeight="false" outlineLevel="0" collapsed="false">
      <c r="A18" s="20" t="s">
        <v>14</v>
      </c>
      <c r="B18" s="21" t="s">
        <v>15</v>
      </c>
      <c r="C18" s="21"/>
      <c r="D18" s="21"/>
      <c r="E18" s="21"/>
      <c r="F18" s="21"/>
      <c r="G18" s="21"/>
      <c r="H18" s="21"/>
      <c r="I18" s="267" t="n">
        <v>12</v>
      </c>
    </row>
    <row r="19" customFormat="false" ht="15.75" hidden="false" customHeight="false" outlineLevel="0" collapsed="false">
      <c r="A19" s="179" t="s">
        <v>16</v>
      </c>
      <c r="B19" s="179"/>
      <c r="C19" s="179"/>
      <c r="D19" s="179"/>
      <c r="E19" s="179"/>
      <c r="F19" s="179"/>
      <c r="G19" s="179"/>
      <c r="H19" s="179"/>
      <c r="I19" s="179"/>
    </row>
    <row r="20" customFormat="false" ht="15.75" hidden="false" customHeight="false" outlineLevel="0" collapsed="false">
      <c r="A20" s="23" t="s">
        <v>17</v>
      </c>
      <c r="B20" s="23"/>
      <c r="C20" s="23"/>
      <c r="D20" s="23"/>
      <c r="E20" s="24" t="s">
        <v>18</v>
      </c>
      <c r="F20" s="24"/>
      <c r="G20" s="25" t="s">
        <v>19</v>
      </c>
      <c r="H20" s="25"/>
      <c r="I20" s="25"/>
    </row>
    <row r="21" customFormat="false" ht="15.75" hidden="false" customHeight="true" outlineLevel="0" collapsed="false">
      <c r="A21" s="26" t="s">
        <v>20</v>
      </c>
      <c r="B21" s="26"/>
      <c r="C21" s="26"/>
      <c r="D21" s="26"/>
      <c r="E21" s="27" t="s">
        <v>21</v>
      </c>
      <c r="F21" s="27"/>
      <c r="G21" s="28" t="n">
        <v>3</v>
      </c>
      <c r="H21" s="28"/>
      <c r="I21" s="28"/>
    </row>
    <row r="22" customFormat="false" ht="31.5" hidden="false" customHeight="true" outlineLevel="0" collapsed="false">
      <c r="A22" s="340" t="s">
        <v>278</v>
      </c>
      <c r="B22" s="340"/>
      <c r="C22" s="340"/>
      <c r="D22" s="340"/>
      <c r="E22" s="27"/>
      <c r="F22" s="27"/>
      <c r="G22" s="28"/>
      <c r="H22" s="28"/>
      <c r="I22" s="28"/>
      <c r="L22" s="30"/>
    </row>
    <row r="23" customFormat="false" ht="15.75" hidden="false" customHeight="false" outlineLevel="0" collapsed="false">
      <c r="A23" s="31"/>
      <c r="B23" s="269"/>
      <c r="C23" s="269"/>
      <c r="D23" s="269"/>
      <c r="E23" s="269"/>
      <c r="F23" s="269"/>
      <c r="G23" s="269"/>
      <c r="H23" s="269"/>
      <c r="I23" s="269"/>
    </row>
    <row r="24" customFormat="false" ht="15.75" hidden="false" customHeight="false" outlineLevel="0" collapsed="false">
      <c r="A24" s="33" t="s">
        <v>22</v>
      </c>
      <c r="B24" s="33"/>
      <c r="C24" s="33"/>
      <c r="D24" s="33"/>
      <c r="E24" s="33"/>
      <c r="F24" s="33"/>
      <c r="G24" s="33"/>
      <c r="H24" s="33"/>
      <c r="I24" s="33"/>
    </row>
    <row r="25" customFormat="false" ht="15.75" hidden="false" customHeight="false" outlineLevel="0" collapsed="false">
      <c r="A25" s="34" t="s">
        <v>23</v>
      </c>
      <c r="B25" s="34"/>
      <c r="C25" s="34"/>
      <c r="D25" s="34"/>
      <c r="E25" s="34"/>
      <c r="F25" s="34"/>
      <c r="G25" s="34"/>
      <c r="H25" s="34"/>
      <c r="I25" s="34"/>
    </row>
    <row r="26" customFormat="false" ht="15.75" hidden="false" customHeight="false" outlineLevel="0" collapsed="false">
      <c r="A26" s="35" t="s">
        <v>24</v>
      </c>
      <c r="B26" s="35"/>
      <c r="C26" s="35"/>
      <c r="D26" s="35"/>
      <c r="E26" s="35"/>
      <c r="F26" s="35"/>
      <c r="G26" s="35"/>
      <c r="H26" s="35"/>
      <c r="I26" s="35"/>
    </row>
    <row r="27" customFormat="false" ht="15.75" hidden="false" customHeight="true" outlineLevel="0" collapsed="false">
      <c r="A27" s="14" t="n">
        <v>1</v>
      </c>
      <c r="B27" s="36" t="s">
        <v>25</v>
      </c>
      <c r="C27" s="36"/>
      <c r="D27" s="36"/>
      <c r="E27" s="36"/>
      <c r="F27" s="36"/>
      <c r="G27" s="36"/>
      <c r="H27" s="36"/>
      <c r="I27" s="266" t="s">
        <v>26</v>
      </c>
    </row>
    <row r="28" customFormat="false" ht="15.75" hidden="false" customHeight="true" outlineLevel="0" collapsed="false">
      <c r="A28" s="14" t="n">
        <v>2</v>
      </c>
      <c r="B28" s="38" t="s">
        <v>27</v>
      </c>
      <c r="C28" s="38"/>
      <c r="D28" s="38"/>
      <c r="E28" s="38"/>
      <c r="F28" s="38"/>
      <c r="G28" s="38"/>
      <c r="H28" s="38"/>
      <c r="I28" s="265" t="n">
        <f aca="false">Dados!B2</f>
        <v>1305.17</v>
      </c>
    </row>
    <row r="29" customFormat="false" ht="15.75" hidden="false" customHeight="true" outlineLevel="0" collapsed="false">
      <c r="A29" s="14" t="n">
        <v>3</v>
      </c>
      <c r="B29" s="38" t="s">
        <v>28</v>
      </c>
      <c r="C29" s="38"/>
      <c r="D29" s="38"/>
      <c r="E29" s="38"/>
      <c r="F29" s="38"/>
      <c r="G29" s="38"/>
      <c r="H29" s="38"/>
      <c r="I29" s="265" t="s">
        <v>188</v>
      </c>
    </row>
    <row r="30" customFormat="false" ht="15.75" hidden="false" customHeight="true" outlineLevel="0" collapsed="false">
      <c r="A30" s="40" t="n">
        <v>4</v>
      </c>
      <c r="B30" s="41" t="s">
        <v>29</v>
      </c>
      <c r="C30" s="41"/>
      <c r="D30" s="41"/>
      <c r="E30" s="41"/>
      <c r="F30" s="41"/>
      <c r="G30" s="41"/>
      <c r="H30" s="41"/>
      <c r="I30" s="270" t="n">
        <v>42005</v>
      </c>
    </row>
    <row r="31" customFormat="false" ht="15.75" hidden="false" customHeight="true" outlineLevel="0" collapsed="false">
      <c r="A31" s="40" t="n">
        <v>5</v>
      </c>
      <c r="B31" s="38" t="s">
        <v>30</v>
      </c>
      <c r="C31" s="38"/>
      <c r="D31" s="38"/>
      <c r="E31" s="38"/>
      <c r="F31" s="38"/>
      <c r="G31" s="38"/>
      <c r="H31" s="38"/>
      <c r="I31" s="270" t="n">
        <f aca="false">I28/220</f>
        <v>5.93259090909091</v>
      </c>
    </row>
    <row r="32" customFormat="false" ht="15.75" hidden="false" customHeight="true" outlineLevel="0" collapsed="false">
      <c r="A32" s="40" t="n">
        <v>6</v>
      </c>
      <c r="B32" s="38" t="s">
        <v>31</v>
      </c>
      <c r="C32" s="38"/>
      <c r="D32" s="38"/>
      <c r="E32" s="38"/>
      <c r="F32" s="38"/>
      <c r="G32" s="38"/>
      <c r="H32" s="38"/>
      <c r="I32" s="343" t="n">
        <f aca="false">I31*1.5</f>
        <v>8.89888636363636</v>
      </c>
    </row>
    <row r="33" customFormat="false" ht="16.5" hidden="false" customHeight="true" outlineLevel="0" collapsed="false">
      <c r="A33" s="20" t="n">
        <v>7</v>
      </c>
      <c r="B33" s="44" t="s">
        <v>32</v>
      </c>
      <c r="C33" s="44"/>
      <c r="D33" s="44"/>
      <c r="E33" s="44"/>
      <c r="F33" s="44"/>
      <c r="G33" s="44"/>
      <c r="H33" s="44"/>
      <c r="I33" s="267" t="n">
        <f aca="false">I31*0.2</f>
        <v>1.18651818181818</v>
      </c>
    </row>
    <row r="34" customFormat="false" ht="15.75" hidden="false" customHeight="false" outlineLevel="0" collapsed="false">
      <c r="A34" s="271"/>
      <c r="B34" s="271"/>
      <c r="C34" s="271"/>
      <c r="D34" s="271"/>
      <c r="E34" s="271"/>
      <c r="F34" s="271"/>
      <c r="G34" s="271"/>
      <c r="H34" s="271"/>
      <c r="I34" s="271"/>
    </row>
    <row r="35" customFormat="false" ht="15.75" hidden="false" customHeight="false" outlineLevel="0" collapsed="false">
      <c r="A35" s="47" t="s">
        <v>33</v>
      </c>
      <c r="B35" s="47"/>
      <c r="C35" s="47"/>
      <c r="D35" s="47"/>
      <c r="E35" s="47"/>
      <c r="F35" s="47"/>
      <c r="G35" s="47"/>
      <c r="H35" s="47"/>
      <c r="I35" s="47"/>
    </row>
    <row r="36" customFormat="false" ht="15.75" hidden="false" customHeight="false" outlineLevel="0" collapsed="false">
      <c r="A36" s="48" t="n">
        <v>1</v>
      </c>
      <c r="B36" s="49" t="s">
        <v>34</v>
      </c>
      <c r="C36" s="49"/>
      <c r="D36" s="49"/>
      <c r="E36" s="49"/>
      <c r="F36" s="49"/>
      <c r="G36" s="49"/>
      <c r="H36" s="49"/>
      <c r="I36" s="272" t="s">
        <v>35</v>
      </c>
      <c r="L36" s="51"/>
    </row>
    <row r="37" customFormat="false" ht="15.75" hidden="false" customHeight="false" outlineLevel="0" collapsed="false">
      <c r="A37" s="17" t="s">
        <v>8</v>
      </c>
      <c r="B37" s="52" t="s">
        <v>36</v>
      </c>
      <c r="C37" s="52"/>
      <c r="D37" s="52"/>
      <c r="E37" s="52"/>
      <c r="F37" s="52"/>
      <c r="G37" s="52"/>
      <c r="H37" s="52"/>
      <c r="I37" s="273" t="n">
        <f aca="false">ROUND(I31*210*2,2)</f>
        <v>2491.69</v>
      </c>
      <c r="L37" s="51"/>
    </row>
    <row r="38" customFormat="false" ht="15.75" hidden="false" customHeight="false" outlineLevel="0" collapsed="false">
      <c r="A38" s="17" t="s">
        <v>10</v>
      </c>
      <c r="B38" s="74" t="s">
        <v>225</v>
      </c>
      <c r="C38" s="74"/>
      <c r="D38" s="74"/>
      <c r="E38" s="74"/>
      <c r="F38" s="74"/>
      <c r="G38" s="74"/>
      <c r="H38" s="74"/>
      <c r="I38" s="273" t="n">
        <f aca="false">ROUND(I32*21*2,2)</f>
        <v>373.75</v>
      </c>
      <c r="L38" s="55"/>
    </row>
    <row r="39" customFormat="false" ht="30.75" hidden="false" customHeight="true" outlineLevel="0" collapsed="false">
      <c r="A39" s="17" t="s">
        <v>12</v>
      </c>
      <c r="B39" s="54" t="s">
        <v>243</v>
      </c>
      <c r="C39" s="54"/>
      <c r="D39" s="54"/>
      <c r="E39" s="54"/>
      <c r="F39" s="54"/>
      <c r="G39" s="54"/>
      <c r="H39" s="54"/>
      <c r="I39" s="273" t="n">
        <f aca="false">ROUND(I33*1*(60/52.5)*21,2)</f>
        <v>28.48</v>
      </c>
      <c r="L39" s="55"/>
    </row>
    <row r="40" customFormat="false" ht="30.75" hidden="false" customHeight="true" outlineLevel="0" collapsed="false">
      <c r="A40" s="17" t="s">
        <v>14</v>
      </c>
      <c r="B40" s="54" t="s">
        <v>220</v>
      </c>
      <c r="C40" s="54"/>
      <c r="D40" s="54"/>
      <c r="E40" s="54"/>
      <c r="F40" s="54"/>
      <c r="G40" s="54"/>
      <c r="H40" s="54"/>
      <c r="I40" s="273" t="n">
        <f aca="false">ROUND(I32*21*(60/52.5-1),2)</f>
        <v>26.7</v>
      </c>
      <c r="L40" s="55"/>
    </row>
    <row r="41" customFormat="false" ht="18" hidden="false" customHeight="true" outlineLevel="0" collapsed="false">
      <c r="A41" s="274" t="s">
        <v>40</v>
      </c>
      <c r="B41" s="58" t="s">
        <v>43</v>
      </c>
      <c r="C41" s="58"/>
      <c r="D41" s="58"/>
      <c r="E41" s="58"/>
      <c r="F41" s="58"/>
      <c r="G41" s="58"/>
      <c r="H41" s="58"/>
      <c r="I41" s="273" t="n">
        <f aca="false">SUM(I38:I40)*0.2</f>
        <v>85.786</v>
      </c>
      <c r="K41" s="59"/>
    </row>
    <row r="42" customFormat="false" ht="15.75" hidden="false" customHeight="false" outlineLevel="0" collapsed="false">
      <c r="A42" s="60" t="s">
        <v>44</v>
      </c>
      <c r="B42" s="60"/>
      <c r="C42" s="60"/>
      <c r="D42" s="60"/>
      <c r="E42" s="60"/>
      <c r="F42" s="60"/>
      <c r="G42" s="60"/>
      <c r="H42" s="60"/>
      <c r="I42" s="275" t="n">
        <f aca="false">SUM(I37:I41)</f>
        <v>3006.406</v>
      </c>
    </row>
    <row r="43" customFormat="false" ht="15.75" hidden="false" customHeight="false" outlineLevel="0" collapsed="false">
      <c r="A43" s="47" t="s">
        <v>45</v>
      </c>
      <c r="B43" s="47"/>
      <c r="C43" s="47"/>
      <c r="D43" s="47"/>
      <c r="E43" s="47"/>
      <c r="F43" s="47"/>
      <c r="G43" s="47"/>
      <c r="H43" s="47"/>
      <c r="I43" s="47"/>
    </row>
    <row r="44" customFormat="false" ht="15.75" hidden="false" customHeight="false" outlineLevel="0" collapsed="false">
      <c r="A44" s="62" t="n">
        <v>2</v>
      </c>
      <c r="B44" s="63" t="s">
        <v>46</v>
      </c>
      <c r="C44" s="63"/>
      <c r="D44" s="63"/>
      <c r="E44" s="63"/>
      <c r="F44" s="63"/>
      <c r="G44" s="63"/>
      <c r="H44" s="63"/>
      <c r="I44" s="272" t="s">
        <v>35</v>
      </c>
    </row>
    <row r="45" customFormat="false" ht="15.75" hidden="false" customHeight="true" outlineLevel="0" collapsed="false">
      <c r="A45" s="64" t="s">
        <v>8</v>
      </c>
      <c r="B45" s="54" t="s">
        <v>206</v>
      </c>
      <c r="C45" s="54"/>
      <c r="D45" s="54"/>
      <c r="E45" s="54"/>
      <c r="F45" s="54"/>
      <c r="G45" s="54"/>
      <c r="H45" s="54"/>
      <c r="I45" s="279" t="n">
        <f aca="false">ROUND((2*H47*H46*26)-(0.06*I37),2)</f>
        <v>219.7</v>
      </c>
      <c r="L45" s="66"/>
    </row>
    <row r="46" customFormat="false" ht="30.75" hidden="false" customHeight="true" outlineLevel="0" collapsed="false">
      <c r="A46" s="64"/>
      <c r="B46" s="277" t="s">
        <v>279</v>
      </c>
      <c r="C46" s="277"/>
      <c r="D46" s="277"/>
      <c r="E46" s="277"/>
      <c r="F46" s="277"/>
      <c r="G46" s="277"/>
      <c r="H46" s="278" t="n">
        <f aca="false">Dados!B16</f>
        <v>3.55</v>
      </c>
      <c r="I46" s="279"/>
    </row>
    <row r="47" customFormat="false" ht="15.75" hidden="false" customHeight="false" outlineLevel="0" collapsed="false">
      <c r="A47" s="64"/>
      <c r="B47" s="69" t="s">
        <v>49</v>
      </c>
      <c r="C47" s="69"/>
      <c r="D47" s="69"/>
      <c r="E47" s="69"/>
      <c r="F47" s="69"/>
      <c r="G47" s="69"/>
      <c r="H47" s="70" t="n">
        <v>2</v>
      </c>
      <c r="I47" s="279"/>
    </row>
    <row r="48" customFormat="false" ht="15.75" hidden="false" customHeight="true" outlineLevel="0" collapsed="false">
      <c r="A48" s="64" t="s">
        <v>10</v>
      </c>
      <c r="B48" s="54" t="s">
        <v>50</v>
      </c>
      <c r="C48" s="54"/>
      <c r="D48" s="54"/>
      <c r="E48" s="54"/>
      <c r="F48" s="54"/>
      <c r="G48" s="54"/>
      <c r="H48" s="54"/>
      <c r="I48" s="279" t="n">
        <f aca="false">ROUND((2*21*H49)*(1-0.18),2)</f>
        <v>576.18</v>
      </c>
    </row>
    <row r="49" customFormat="false" ht="15.75" hidden="false" customHeight="false" outlineLevel="0" collapsed="false">
      <c r="A49" s="64"/>
      <c r="B49" s="69" t="s">
        <v>51</v>
      </c>
      <c r="C49" s="69"/>
      <c r="D49" s="69"/>
      <c r="E49" s="69"/>
      <c r="F49" s="69"/>
      <c r="G49" s="69"/>
      <c r="H49" s="280" t="n">
        <f aca="false">Dados!B3</f>
        <v>16.73</v>
      </c>
      <c r="I49" s="281"/>
    </row>
    <row r="50" customFormat="false" ht="29.25" hidden="false" customHeight="true" outlineLevel="0" collapsed="false">
      <c r="A50" s="17" t="s">
        <v>12</v>
      </c>
      <c r="B50" s="58" t="s">
        <v>194</v>
      </c>
      <c r="C50" s="58"/>
      <c r="D50" s="58"/>
      <c r="E50" s="58"/>
      <c r="F50" s="58"/>
      <c r="G50" s="58"/>
      <c r="H50" s="58"/>
      <c r="I50" s="279" t="n">
        <f aca="false">ROUND(Dados!B5*2,2)</f>
        <v>30.04</v>
      </c>
    </row>
    <row r="51" customFormat="false" ht="15.75" hidden="false" customHeight="false" outlineLevel="0" collapsed="false">
      <c r="A51" s="60" t="s">
        <v>53</v>
      </c>
      <c r="B51" s="60"/>
      <c r="C51" s="60"/>
      <c r="D51" s="60"/>
      <c r="E51" s="60"/>
      <c r="F51" s="60"/>
      <c r="G51" s="60"/>
      <c r="H51" s="60"/>
      <c r="I51" s="275" t="n">
        <f aca="false">SUM(I45:I50)</f>
        <v>825.92</v>
      </c>
    </row>
    <row r="52" customFormat="false" ht="15.75" hidden="false" customHeight="false" outlineLevel="0" collapsed="false">
      <c r="A52" s="73" t="s">
        <v>54</v>
      </c>
      <c r="B52" s="73"/>
      <c r="C52" s="73"/>
      <c r="D52" s="73"/>
      <c r="E52" s="73"/>
      <c r="F52" s="73"/>
      <c r="G52" s="73"/>
      <c r="H52" s="73"/>
      <c r="I52" s="73"/>
    </row>
    <row r="53" customFormat="false" ht="15.75" hidden="false" customHeight="false" outlineLevel="0" collapsed="false">
      <c r="A53" s="47" t="s">
        <v>55</v>
      </c>
      <c r="B53" s="47"/>
      <c r="C53" s="47"/>
      <c r="D53" s="47"/>
      <c r="E53" s="47"/>
      <c r="F53" s="47"/>
      <c r="G53" s="47"/>
      <c r="H53" s="47"/>
      <c r="I53" s="47"/>
    </row>
    <row r="54" customFormat="false" ht="15.75" hidden="false" customHeight="false" outlineLevel="0" collapsed="false">
      <c r="A54" s="62" t="n">
        <v>3</v>
      </c>
      <c r="B54" s="63" t="s">
        <v>56</v>
      </c>
      <c r="C54" s="63"/>
      <c r="D54" s="63"/>
      <c r="E54" s="63"/>
      <c r="F54" s="63"/>
      <c r="G54" s="63"/>
      <c r="H54" s="63"/>
      <c r="I54" s="272" t="s">
        <v>35</v>
      </c>
    </row>
    <row r="55" customFormat="false" ht="15.75" hidden="false" customHeight="false" outlineLevel="0" collapsed="false">
      <c r="A55" s="64" t="s">
        <v>8</v>
      </c>
      <c r="B55" s="74" t="s">
        <v>233</v>
      </c>
      <c r="C55" s="74"/>
      <c r="D55" s="74"/>
      <c r="E55" s="74"/>
      <c r="F55" s="74"/>
      <c r="G55" s="74"/>
      <c r="H55" s="74"/>
      <c r="I55" s="282" t="n">
        <f aca="false">Dados!D6*2</f>
        <v>137.67625</v>
      </c>
      <c r="J55" s="76"/>
      <c r="K55" s="77"/>
    </row>
    <row r="56" customFormat="false" ht="15.75" hidden="false" customHeight="false" outlineLevel="0" collapsed="false">
      <c r="A56" s="60" t="s">
        <v>58</v>
      </c>
      <c r="B56" s="60"/>
      <c r="C56" s="60"/>
      <c r="D56" s="60"/>
      <c r="E56" s="60"/>
      <c r="F56" s="60"/>
      <c r="G56" s="60"/>
      <c r="H56" s="60"/>
      <c r="I56" s="283" t="n">
        <f aca="false">SUM(I55:I55)</f>
        <v>137.67625</v>
      </c>
    </row>
    <row r="57" customFormat="false" ht="15.75" hidden="false" customHeight="false" outlineLevel="0" collapsed="false">
      <c r="A57" s="47" t="s">
        <v>59</v>
      </c>
      <c r="B57" s="47"/>
      <c r="C57" s="47"/>
      <c r="D57" s="47"/>
      <c r="E57" s="47"/>
      <c r="F57" s="47"/>
      <c r="G57" s="47"/>
      <c r="H57" s="47"/>
      <c r="I57" s="47"/>
    </row>
    <row r="58" customFormat="false" ht="15.75" hidden="false" customHeight="false" outlineLevel="0" collapsed="false">
      <c r="A58" s="79" t="s">
        <v>60</v>
      </c>
      <c r="B58" s="79"/>
      <c r="C58" s="79"/>
      <c r="D58" s="79"/>
      <c r="E58" s="79"/>
      <c r="F58" s="79"/>
      <c r="G58" s="79"/>
      <c r="H58" s="79"/>
      <c r="I58" s="79"/>
    </row>
    <row r="59" customFormat="false" ht="15.75" hidden="false" customHeight="false" outlineLevel="0" collapsed="false">
      <c r="A59" s="62" t="s">
        <v>61</v>
      </c>
      <c r="B59" s="80" t="s">
        <v>62</v>
      </c>
      <c r="C59" s="80"/>
      <c r="D59" s="80"/>
      <c r="E59" s="80"/>
      <c r="F59" s="80"/>
      <c r="G59" s="80"/>
      <c r="H59" s="81" t="s">
        <v>63</v>
      </c>
      <c r="I59" s="272" t="s">
        <v>35</v>
      </c>
    </row>
    <row r="60" customFormat="false" ht="15.75" hidden="false" customHeight="false" outlineLevel="0" collapsed="false">
      <c r="A60" s="82" t="s">
        <v>8</v>
      </c>
      <c r="B60" s="83" t="s">
        <v>64</v>
      </c>
      <c r="C60" s="83"/>
      <c r="D60" s="83"/>
      <c r="E60" s="83"/>
      <c r="F60" s="83"/>
      <c r="G60" s="83"/>
      <c r="H60" s="84" t="n">
        <v>0.2</v>
      </c>
      <c r="I60" s="273" t="n">
        <f aca="false">ROUND(($I$42-$I$38)*H60,2)</f>
        <v>526.53</v>
      </c>
      <c r="K60" s="66"/>
    </row>
    <row r="61" customFormat="false" ht="15.75" hidden="false" customHeight="false" outlineLevel="0" collapsed="false">
      <c r="A61" s="82" t="s">
        <v>10</v>
      </c>
      <c r="B61" s="83" t="s">
        <v>65</v>
      </c>
      <c r="C61" s="83"/>
      <c r="D61" s="83"/>
      <c r="E61" s="83"/>
      <c r="F61" s="83"/>
      <c r="G61" s="83"/>
      <c r="H61" s="85" t="n">
        <v>0.015</v>
      </c>
      <c r="I61" s="273" t="n">
        <f aca="false">ROUND(($I$42-$I$38)*H61,2)</f>
        <v>39.49</v>
      </c>
      <c r="K61" s="66"/>
    </row>
    <row r="62" customFormat="false" ht="15.75" hidden="false" customHeight="false" outlineLevel="0" collapsed="false">
      <c r="A62" s="82" t="s">
        <v>12</v>
      </c>
      <c r="B62" s="83" t="s">
        <v>66</v>
      </c>
      <c r="C62" s="83"/>
      <c r="D62" s="83"/>
      <c r="E62" s="83"/>
      <c r="F62" s="83"/>
      <c r="G62" s="83"/>
      <c r="H62" s="84" t="n">
        <v>0.01</v>
      </c>
      <c r="I62" s="273" t="n">
        <f aca="false">ROUND(($I$42-$I$38)*H62,2)</f>
        <v>26.33</v>
      </c>
      <c r="K62" s="66"/>
    </row>
    <row r="63" customFormat="false" ht="15.75" hidden="false" customHeight="false" outlineLevel="0" collapsed="false">
      <c r="A63" s="82" t="s">
        <v>14</v>
      </c>
      <c r="B63" s="83" t="s">
        <v>67</v>
      </c>
      <c r="C63" s="83"/>
      <c r="D63" s="83"/>
      <c r="E63" s="83"/>
      <c r="F63" s="83"/>
      <c r="G63" s="83"/>
      <c r="H63" s="86" t="n">
        <v>0.002</v>
      </c>
      <c r="I63" s="273" t="n">
        <f aca="false">ROUND(($I$42-$I$38)*H63,2)</f>
        <v>5.27</v>
      </c>
      <c r="K63" s="66"/>
    </row>
    <row r="64" customFormat="false" ht="15.75" hidden="false" customHeight="false" outlineLevel="0" collapsed="false">
      <c r="A64" s="82" t="s">
        <v>40</v>
      </c>
      <c r="B64" s="83" t="s">
        <v>68</v>
      </c>
      <c r="C64" s="83"/>
      <c r="D64" s="83"/>
      <c r="E64" s="83"/>
      <c r="F64" s="83"/>
      <c r="G64" s="83"/>
      <c r="H64" s="86" t="n">
        <v>0.025</v>
      </c>
      <c r="I64" s="273" t="n">
        <f aca="false">ROUND(($I$42-$I$38)*H64,2)</f>
        <v>65.82</v>
      </c>
      <c r="K64" s="66"/>
    </row>
    <row r="65" customFormat="false" ht="15.75" hidden="false" customHeight="false" outlineLevel="0" collapsed="false">
      <c r="A65" s="82" t="s">
        <v>42</v>
      </c>
      <c r="B65" s="83" t="s">
        <v>69</v>
      </c>
      <c r="C65" s="83"/>
      <c r="D65" s="83"/>
      <c r="E65" s="83"/>
      <c r="F65" s="83"/>
      <c r="G65" s="83"/>
      <c r="H65" s="84" t="n">
        <v>0.08</v>
      </c>
      <c r="I65" s="273" t="n">
        <f aca="false">ROUND(($I$42-$I$38)*H65,2)</f>
        <v>210.61</v>
      </c>
      <c r="K65" s="66"/>
    </row>
    <row r="66" customFormat="false" ht="15.75" hidden="false" customHeight="false" outlineLevel="0" collapsed="false">
      <c r="A66" s="82" t="s">
        <v>70</v>
      </c>
      <c r="B66" s="87" t="s">
        <v>71</v>
      </c>
      <c r="C66" s="87"/>
      <c r="D66" s="87"/>
      <c r="E66" s="87"/>
      <c r="F66" s="88" t="s">
        <v>72</v>
      </c>
      <c r="G66" s="89" t="s">
        <v>196</v>
      </c>
      <c r="H66" s="86" t="n">
        <v>0.015</v>
      </c>
      <c r="I66" s="273" t="n">
        <f aca="false">ROUND(($I$42-$I$38)*H66,2)</f>
        <v>39.49</v>
      </c>
      <c r="K66" s="66"/>
    </row>
    <row r="67" customFormat="false" ht="15.75" hidden="false" customHeight="false" outlineLevel="0" collapsed="false">
      <c r="A67" s="82" t="s">
        <v>74</v>
      </c>
      <c r="B67" s="83" t="s">
        <v>75</v>
      </c>
      <c r="C67" s="83"/>
      <c r="D67" s="83"/>
      <c r="E67" s="83"/>
      <c r="F67" s="83"/>
      <c r="G67" s="83"/>
      <c r="H67" s="86" t="n">
        <v>0.006</v>
      </c>
      <c r="I67" s="273" t="n">
        <f aca="false">ROUND(($I$42-$I$38)*H67,2)</f>
        <v>15.8</v>
      </c>
      <c r="K67" s="66"/>
    </row>
    <row r="68" customFormat="false" ht="15.75" hidden="false" customHeight="false" outlineLevel="0" collapsed="false">
      <c r="A68" s="90" t="s">
        <v>76</v>
      </c>
      <c r="B68" s="90"/>
      <c r="C68" s="90"/>
      <c r="D68" s="90"/>
      <c r="E68" s="90"/>
      <c r="F68" s="90"/>
      <c r="G68" s="90"/>
      <c r="H68" s="91" t="n">
        <f aca="false">SUM(H60:H67)</f>
        <v>0.353</v>
      </c>
      <c r="I68" s="284" t="n">
        <f aca="false">SUM(I60:I67)</f>
        <v>929.34</v>
      </c>
      <c r="K68" s="66"/>
    </row>
    <row r="69" customFormat="false" ht="15.75" hidden="false" customHeight="false" outlineLevel="0" collapsed="false">
      <c r="A69" s="93" t="s">
        <v>77</v>
      </c>
      <c r="B69" s="93"/>
      <c r="C69" s="93"/>
      <c r="D69" s="93"/>
      <c r="E69" s="93"/>
      <c r="F69" s="93"/>
      <c r="G69" s="93"/>
      <c r="H69" s="93"/>
      <c r="I69" s="93"/>
    </row>
    <row r="70" customFormat="false" ht="15.75" hidden="false" customHeight="false" outlineLevel="0" collapsed="false">
      <c r="A70" s="94" t="s">
        <v>78</v>
      </c>
      <c r="B70" s="94"/>
      <c r="C70" s="94"/>
      <c r="D70" s="94"/>
      <c r="E70" s="94"/>
      <c r="F70" s="94"/>
      <c r="G70" s="94"/>
      <c r="H70" s="94"/>
      <c r="I70" s="94"/>
    </row>
    <row r="71" customFormat="false" ht="15.75" hidden="false" customHeight="false" outlineLevel="0" collapsed="false">
      <c r="A71" s="79" t="s">
        <v>79</v>
      </c>
      <c r="B71" s="79"/>
      <c r="C71" s="79"/>
      <c r="D71" s="79"/>
      <c r="E71" s="79"/>
      <c r="F71" s="79"/>
      <c r="G71" s="79"/>
      <c r="H71" s="79"/>
      <c r="I71" s="79"/>
    </row>
    <row r="72" customFormat="false" ht="15.75" hidden="false" customHeight="false" outlineLevel="0" collapsed="false">
      <c r="A72" s="62" t="s">
        <v>80</v>
      </c>
      <c r="B72" s="81" t="s">
        <v>81</v>
      </c>
      <c r="C72" s="81"/>
      <c r="D72" s="81"/>
      <c r="E72" s="81"/>
      <c r="F72" s="81"/>
      <c r="G72" s="81"/>
      <c r="H72" s="81"/>
      <c r="I72" s="272" t="s">
        <v>35</v>
      </c>
    </row>
    <row r="73" customFormat="false" ht="33.75" hidden="false" customHeight="true" outlineLevel="0" collapsed="false">
      <c r="A73" s="17" t="s">
        <v>8</v>
      </c>
      <c r="B73" s="95" t="s">
        <v>82</v>
      </c>
      <c r="C73" s="95"/>
      <c r="D73" s="95"/>
      <c r="E73" s="95"/>
      <c r="F73" s="95"/>
      <c r="G73" s="95"/>
      <c r="H73" s="95"/>
      <c r="I73" s="285" t="n">
        <f aca="false">ROUND(I42/12,2)</f>
        <v>250.53</v>
      </c>
      <c r="K73" s="66"/>
    </row>
    <row r="74" customFormat="false" ht="15.75" hidden="false" customHeight="false" outlineLevel="0" collapsed="false">
      <c r="A74" s="97" t="s">
        <v>83</v>
      </c>
      <c r="B74" s="97"/>
      <c r="C74" s="97"/>
      <c r="D74" s="97"/>
      <c r="E74" s="97"/>
      <c r="F74" s="97"/>
      <c r="G74" s="97"/>
      <c r="H74" s="97"/>
      <c r="I74" s="273" t="n">
        <f aca="false">SUM(I73:I73)</f>
        <v>250.53</v>
      </c>
      <c r="K74" s="66"/>
    </row>
    <row r="75" customFormat="false" ht="15.75" hidden="false" customHeight="false" outlineLevel="0" collapsed="false">
      <c r="A75" s="17" t="s">
        <v>10</v>
      </c>
      <c r="B75" s="83" t="s">
        <v>84</v>
      </c>
      <c r="C75" s="83"/>
      <c r="D75" s="83"/>
      <c r="E75" s="83"/>
      <c r="F75" s="83"/>
      <c r="G75" s="83"/>
      <c r="H75" s="83"/>
      <c r="I75" s="273" t="n">
        <f aca="false">ROUND(I74*H68,2)</f>
        <v>88.44</v>
      </c>
      <c r="K75" s="66"/>
    </row>
    <row r="76" customFormat="false" ht="15.75" hidden="false" customHeight="false" outlineLevel="0" collapsed="false">
      <c r="A76" s="60" t="s">
        <v>76</v>
      </c>
      <c r="B76" s="60"/>
      <c r="C76" s="60"/>
      <c r="D76" s="60"/>
      <c r="E76" s="60"/>
      <c r="F76" s="60"/>
      <c r="G76" s="60"/>
      <c r="H76" s="60"/>
      <c r="I76" s="275" t="n">
        <f aca="false">SUM(I74:I75)</f>
        <v>338.97</v>
      </c>
      <c r="K76" s="66"/>
    </row>
    <row r="77" customFormat="false" ht="15.75" hidden="false" customHeight="false" outlineLevel="0" collapsed="false">
      <c r="A77" s="79" t="s">
        <v>85</v>
      </c>
      <c r="B77" s="79"/>
      <c r="C77" s="79"/>
      <c r="D77" s="79"/>
      <c r="E77" s="79"/>
      <c r="F77" s="79"/>
      <c r="G77" s="79"/>
      <c r="H77" s="79"/>
      <c r="I77" s="79"/>
    </row>
    <row r="78" customFormat="false" ht="15.75" hidden="false" customHeight="false" outlineLevel="0" collapsed="false">
      <c r="A78" s="62" t="s">
        <v>86</v>
      </c>
      <c r="B78" s="81" t="s">
        <v>87</v>
      </c>
      <c r="C78" s="81"/>
      <c r="D78" s="81"/>
      <c r="E78" s="81"/>
      <c r="F78" s="81"/>
      <c r="G78" s="81"/>
      <c r="H78" s="81"/>
      <c r="I78" s="272" t="s">
        <v>35</v>
      </c>
    </row>
    <row r="79" customFormat="false" ht="15.75" hidden="false" customHeight="false" outlineLevel="0" collapsed="false">
      <c r="A79" s="17" t="s">
        <v>8</v>
      </c>
      <c r="B79" s="52" t="s">
        <v>88</v>
      </c>
      <c r="C79" s="52"/>
      <c r="D79" s="52"/>
      <c r="E79" s="52"/>
      <c r="F79" s="52"/>
      <c r="G79" s="52"/>
      <c r="H79" s="52"/>
      <c r="I79" s="282" t="n">
        <f aca="false">ROUND((((I42+I42/3)*(4/12))/12)*0.02,2)</f>
        <v>2.23</v>
      </c>
    </row>
    <row r="80" customFormat="false" ht="15.75" hidden="false" customHeight="false" outlineLevel="0" collapsed="false">
      <c r="A80" s="17" t="s">
        <v>10</v>
      </c>
      <c r="B80" s="83" t="s">
        <v>89</v>
      </c>
      <c r="C80" s="83"/>
      <c r="D80" s="83"/>
      <c r="E80" s="83"/>
      <c r="F80" s="83"/>
      <c r="G80" s="83"/>
      <c r="H80" s="83"/>
      <c r="I80" s="282" t="n">
        <f aca="false">ROUND(I79*H68,2)</f>
        <v>0.79</v>
      </c>
    </row>
    <row r="81" customFormat="false" ht="15.75" hidden="false" customHeight="false" outlineLevel="0" collapsed="false">
      <c r="A81" s="60" t="s">
        <v>76</v>
      </c>
      <c r="B81" s="60"/>
      <c r="C81" s="60"/>
      <c r="D81" s="60"/>
      <c r="E81" s="60"/>
      <c r="F81" s="60"/>
      <c r="G81" s="60"/>
      <c r="H81" s="60"/>
      <c r="I81" s="275" t="n">
        <f aca="false">SUM(I79:I80)</f>
        <v>3.02</v>
      </c>
    </row>
    <row r="82" customFormat="false" ht="15.75" hidden="false" customHeight="false" outlineLevel="0" collapsed="false">
      <c r="A82" s="79" t="s">
        <v>90</v>
      </c>
      <c r="B82" s="79"/>
      <c r="C82" s="79"/>
      <c r="D82" s="79"/>
      <c r="E82" s="79"/>
      <c r="F82" s="79"/>
      <c r="G82" s="79"/>
      <c r="H82" s="79"/>
      <c r="I82" s="79"/>
    </row>
    <row r="83" customFormat="false" ht="15.75" hidden="false" customHeight="false" outlineLevel="0" collapsed="false">
      <c r="A83" s="62" t="s">
        <v>91</v>
      </c>
      <c r="B83" s="81" t="s">
        <v>92</v>
      </c>
      <c r="C83" s="81"/>
      <c r="D83" s="81"/>
      <c r="E83" s="81"/>
      <c r="F83" s="81"/>
      <c r="G83" s="81"/>
      <c r="H83" s="81"/>
      <c r="I83" s="272" t="s">
        <v>35</v>
      </c>
    </row>
    <row r="84" customFormat="false" ht="25.5" hidden="false" customHeight="true" outlineLevel="0" collapsed="false">
      <c r="A84" s="17" t="s">
        <v>8</v>
      </c>
      <c r="B84" s="99" t="s">
        <v>93</v>
      </c>
      <c r="C84" s="99"/>
      <c r="D84" s="99"/>
      <c r="E84" s="99"/>
      <c r="F84" s="99"/>
      <c r="G84" s="99"/>
      <c r="H84" s="99"/>
      <c r="I84" s="273" t="n">
        <f aca="false">ROUND((I42/12)*(30/30)*0.05,2)</f>
        <v>12.53</v>
      </c>
    </row>
    <row r="85" customFormat="false" ht="15.75" hidden="false" customHeight="true" outlineLevel="0" collapsed="false">
      <c r="A85" s="17" t="s">
        <v>10</v>
      </c>
      <c r="B85" s="83" t="s">
        <v>94</v>
      </c>
      <c r="C85" s="83"/>
      <c r="D85" s="83"/>
      <c r="E85" s="83"/>
      <c r="F85" s="83"/>
      <c r="G85" s="83"/>
      <c r="H85" s="83"/>
      <c r="I85" s="273" t="n">
        <f aca="false">ROUND(I84*H65,2)</f>
        <v>1</v>
      </c>
    </row>
    <row r="86" customFormat="false" ht="49.5" hidden="false" customHeight="true" outlineLevel="0" collapsed="false">
      <c r="A86" s="17" t="s">
        <v>12</v>
      </c>
      <c r="B86" s="95" t="s">
        <v>95</v>
      </c>
      <c r="C86" s="95"/>
      <c r="D86" s="95"/>
      <c r="E86" s="95"/>
      <c r="F86" s="95"/>
      <c r="G86" s="95"/>
      <c r="H86" s="95"/>
      <c r="I86" s="285" t="n">
        <f aca="false">ROUND(0.0024*I42,2)</f>
        <v>7.22</v>
      </c>
      <c r="K86" s="66"/>
    </row>
    <row r="87" customFormat="false" ht="30.75" hidden="false" customHeight="true" outlineLevel="0" collapsed="false">
      <c r="A87" s="100" t="s">
        <v>14</v>
      </c>
      <c r="B87" s="99" t="s">
        <v>96</v>
      </c>
      <c r="C87" s="99"/>
      <c r="D87" s="99"/>
      <c r="E87" s="99"/>
      <c r="F87" s="99"/>
      <c r="G87" s="99"/>
      <c r="H87" s="99"/>
      <c r="I87" s="273" t="n">
        <v>0</v>
      </c>
      <c r="N87" s="101"/>
    </row>
    <row r="88" customFormat="false" ht="18" hidden="false" customHeight="true" outlineLevel="0" collapsed="false">
      <c r="A88" s="17" t="s">
        <v>40</v>
      </c>
      <c r="B88" s="83" t="s">
        <v>97</v>
      </c>
      <c r="C88" s="83"/>
      <c r="D88" s="83"/>
      <c r="E88" s="83"/>
      <c r="F88" s="83"/>
      <c r="G88" s="83"/>
      <c r="H88" s="83"/>
      <c r="I88" s="273" t="n">
        <f aca="false">ROUND(I87*H68,2)</f>
        <v>0</v>
      </c>
      <c r="J88" s="13"/>
      <c r="K88" s="13"/>
      <c r="L88" s="102"/>
    </row>
    <row r="89" customFormat="false" ht="48.75" hidden="false" customHeight="true" outlineLevel="0" collapsed="false">
      <c r="A89" s="17" t="s">
        <v>42</v>
      </c>
      <c r="B89" s="95" t="s">
        <v>98</v>
      </c>
      <c r="C89" s="95"/>
      <c r="D89" s="95"/>
      <c r="E89" s="95"/>
      <c r="F89" s="95"/>
      <c r="G89" s="95"/>
      <c r="H89" s="95"/>
      <c r="I89" s="285" t="n">
        <f aca="false">ROUND(0.0476*I42,2)</f>
        <v>143.1</v>
      </c>
      <c r="J89" s="13"/>
      <c r="K89" s="66"/>
      <c r="L89" s="13"/>
    </row>
    <row r="90" customFormat="false" ht="20.25" hidden="false" customHeight="true" outlineLevel="0" collapsed="false">
      <c r="A90" s="60" t="s">
        <v>76</v>
      </c>
      <c r="B90" s="60"/>
      <c r="C90" s="60"/>
      <c r="D90" s="60"/>
      <c r="E90" s="60"/>
      <c r="F90" s="60"/>
      <c r="G90" s="60"/>
      <c r="H90" s="60"/>
      <c r="I90" s="275" t="n">
        <f aca="false">SUM(I84:I89)</f>
        <v>163.85</v>
      </c>
    </row>
    <row r="91" customFormat="false" ht="20.25" hidden="false" customHeight="true" outlineLevel="0" collapsed="false">
      <c r="A91" s="79" t="s">
        <v>99</v>
      </c>
      <c r="B91" s="79"/>
      <c r="C91" s="79"/>
      <c r="D91" s="79"/>
      <c r="E91" s="79"/>
      <c r="F91" s="79"/>
      <c r="G91" s="79"/>
      <c r="H91" s="79"/>
      <c r="I91" s="79"/>
    </row>
    <row r="92" customFormat="false" ht="15.75" hidden="false" customHeight="false" outlineLevel="0" collapsed="false">
      <c r="A92" s="62" t="s">
        <v>100</v>
      </c>
      <c r="B92" s="81" t="s">
        <v>101</v>
      </c>
      <c r="C92" s="81"/>
      <c r="D92" s="81"/>
      <c r="E92" s="81"/>
      <c r="F92" s="81"/>
      <c r="G92" s="81"/>
      <c r="H92" s="81"/>
      <c r="I92" s="272" t="s">
        <v>35</v>
      </c>
    </row>
    <row r="93" customFormat="false" ht="49.5" hidden="false" customHeight="true" outlineLevel="0" collapsed="false">
      <c r="A93" s="17" t="s">
        <v>8</v>
      </c>
      <c r="B93" s="95" t="s">
        <v>102</v>
      </c>
      <c r="C93" s="95"/>
      <c r="D93" s="95"/>
      <c r="E93" s="95"/>
      <c r="F93" s="95"/>
      <c r="G93" s="95"/>
      <c r="H93" s="95"/>
      <c r="I93" s="285" t="n">
        <f aca="false">ROUND(0.121*I42,2)</f>
        <v>363.78</v>
      </c>
      <c r="K93" s="66"/>
    </row>
    <row r="94" customFormat="false" ht="17.25" hidden="false" customHeight="true" outlineLevel="0" collapsed="false">
      <c r="A94" s="17" t="s">
        <v>10</v>
      </c>
      <c r="B94" s="52" t="s">
        <v>103</v>
      </c>
      <c r="C94" s="52"/>
      <c r="D94" s="52"/>
      <c r="E94" s="52"/>
      <c r="F94" s="52"/>
      <c r="G94" s="52"/>
      <c r="H94" s="52"/>
      <c r="I94" s="273" t="n">
        <f aca="false">ROUND(((I42/30)*5)/12,2)</f>
        <v>41.76</v>
      </c>
    </row>
    <row r="95" customFormat="false" ht="16.5" hidden="false" customHeight="true" outlineLevel="0" collapsed="false">
      <c r="A95" s="17" t="s">
        <v>12</v>
      </c>
      <c r="B95" s="52" t="s">
        <v>104</v>
      </c>
      <c r="C95" s="52"/>
      <c r="D95" s="52"/>
      <c r="E95" s="52"/>
      <c r="F95" s="52"/>
      <c r="G95" s="52"/>
      <c r="H95" s="52"/>
      <c r="I95" s="273" t="n">
        <f aca="false">ROUND((((I42/30)*5)/12)*0.015,2)</f>
        <v>0.63</v>
      </c>
    </row>
    <row r="96" customFormat="false" ht="17.25" hidden="false" customHeight="true" outlineLevel="0" collapsed="false">
      <c r="A96" s="17" t="s">
        <v>14</v>
      </c>
      <c r="B96" s="52" t="s">
        <v>105</v>
      </c>
      <c r="C96" s="52"/>
      <c r="D96" s="52"/>
      <c r="E96" s="52"/>
      <c r="F96" s="52"/>
      <c r="G96" s="52"/>
      <c r="H96" s="52"/>
      <c r="I96" s="273" t="n">
        <f aca="false">ROUND(((I42/30)*2.96)/12,2)</f>
        <v>24.72</v>
      </c>
    </row>
    <row r="97" customFormat="false" ht="16.5" hidden="false" customHeight="true" outlineLevel="0" collapsed="false">
      <c r="A97" s="17" t="s">
        <v>40</v>
      </c>
      <c r="B97" s="52" t="s">
        <v>106</v>
      </c>
      <c r="C97" s="52"/>
      <c r="D97" s="52"/>
      <c r="E97" s="52"/>
      <c r="F97" s="52"/>
      <c r="G97" s="52"/>
      <c r="H97" s="52"/>
      <c r="I97" s="273" t="n">
        <f aca="false">ROUND((((I42/30)*15)/12)*0.0078,2)</f>
        <v>0.98</v>
      </c>
    </row>
    <row r="98" customFormat="false" ht="15.75" hidden="false" customHeight="false" outlineLevel="0" collapsed="false">
      <c r="A98" s="97" t="s">
        <v>83</v>
      </c>
      <c r="B98" s="97"/>
      <c r="C98" s="97"/>
      <c r="D98" s="97"/>
      <c r="E98" s="97"/>
      <c r="F98" s="97"/>
      <c r="G98" s="97"/>
      <c r="H98" s="97"/>
      <c r="I98" s="281" t="n">
        <f aca="false">SUM(I93:I97)</f>
        <v>431.87</v>
      </c>
      <c r="K98" s="66"/>
    </row>
    <row r="99" customFormat="false" ht="18" hidden="false" customHeight="true" outlineLevel="0" collapsed="false">
      <c r="A99" s="17" t="s">
        <v>70</v>
      </c>
      <c r="B99" s="83" t="s">
        <v>107</v>
      </c>
      <c r="C99" s="83"/>
      <c r="D99" s="83"/>
      <c r="E99" s="83"/>
      <c r="F99" s="83"/>
      <c r="G99" s="83"/>
      <c r="H99" s="83"/>
      <c r="I99" s="286" t="n">
        <f aca="false">ROUND(I98*H68,2)</f>
        <v>152.45</v>
      </c>
      <c r="K99" s="66"/>
    </row>
    <row r="100" customFormat="false" ht="15.75" hidden="false" customHeight="false" outlineLevel="0" collapsed="false">
      <c r="A100" s="60" t="s">
        <v>76</v>
      </c>
      <c r="B100" s="60"/>
      <c r="C100" s="60"/>
      <c r="D100" s="60"/>
      <c r="E100" s="60"/>
      <c r="F100" s="60"/>
      <c r="G100" s="60"/>
      <c r="H100" s="60"/>
      <c r="I100" s="275" t="n">
        <f aca="false">SUM(I98+I99)</f>
        <v>584.32</v>
      </c>
      <c r="K100" s="66"/>
    </row>
    <row r="101" customFormat="false" ht="15.75" hidden="false" customHeight="false" outlineLevel="0" collapsed="false">
      <c r="A101" s="104" t="s">
        <v>108</v>
      </c>
      <c r="B101" s="104"/>
      <c r="C101" s="104"/>
      <c r="D101" s="104"/>
      <c r="E101" s="104"/>
      <c r="F101" s="104"/>
      <c r="G101" s="104"/>
      <c r="H101" s="104"/>
      <c r="I101" s="104"/>
    </row>
    <row r="102" customFormat="false" ht="15.75" hidden="false" customHeight="false" outlineLevel="0" collapsed="false">
      <c r="A102" s="62" t="n">
        <v>4</v>
      </c>
      <c r="B102" s="81" t="s">
        <v>109</v>
      </c>
      <c r="C102" s="81"/>
      <c r="D102" s="81"/>
      <c r="E102" s="81"/>
      <c r="F102" s="81"/>
      <c r="G102" s="81"/>
      <c r="H102" s="81"/>
      <c r="I102" s="272" t="s">
        <v>35</v>
      </c>
    </row>
    <row r="103" customFormat="false" ht="15.75" hidden="false" customHeight="false" outlineLevel="0" collapsed="false">
      <c r="A103" s="17" t="s">
        <v>61</v>
      </c>
      <c r="B103" s="83" t="s">
        <v>62</v>
      </c>
      <c r="C103" s="83"/>
      <c r="D103" s="83"/>
      <c r="E103" s="83"/>
      <c r="F103" s="83"/>
      <c r="G103" s="83"/>
      <c r="H103" s="83"/>
      <c r="I103" s="282" t="n">
        <f aca="false">I68</f>
        <v>929.34</v>
      </c>
    </row>
    <row r="104" customFormat="false" ht="15.75" hidden="false" customHeight="false" outlineLevel="0" collapsed="false">
      <c r="A104" s="17" t="s">
        <v>80</v>
      </c>
      <c r="B104" s="83" t="s">
        <v>110</v>
      </c>
      <c r="C104" s="83"/>
      <c r="D104" s="83"/>
      <c r="E104" s="83"/>
      <c r="F104" s="83"/>
      <c r="G104" s="83"/>
      <c r="H104" s="83"/>
      <c r="I104" s="282" t="n">
        <f aca="false">I76</f>
        <v>338.97</v>
      </c>
    </row>
    <row r="105" customFormat="false" ht="15.75" hidden="false" customHeight="false" outlineLevel="0" collapsed="false">
      <c r="A105" s="17" t="s">
        <v>86</v>
      </c>
      <c r="B105" s="83" t="s">
        <v>87</v>
      </c>
      <c r="C105" s="83"/>
      <c r="D105" s="83"/>
      <c r="E105" s="83"/>
      <c r="F105" s="83"/>
      <c r="G105" s="83"/>
      <c r="H105" s="83"/>
      <c r="I105" s="282" t="n">
        <f aca="false">I81</f>
        <v>3.02</v>
      </c>
    </row>
    <row r="106" customFormat="false" ht="15.75" hidden="false" customHeight="false" outlineLevel="0" collapsed="false">
      <c r="A106" s="17" t="s">
        <v>91</v>
      </c>
      <c r="B106" s="83" t="s">
        <v>111</v>
      </c>
      <c r="C106" s="83"/>
      <c r="D106" s="83"/>
      <c r="E106" s="83"/>
      <c r="F106" s="83"/>
      <c r="G106" s="83"/>
      <c r="H106" s="83"/>
      <c r="I106" s="282" t="n">
        <f aca="false">I90</f>
        <v>163.85</v>
      </c>
    </row>
    <row r="107" customFormat="false" ht="15.75" hidden="false" customHeight="false" outlineLevel="0" collapsed="false">
      <c r="A107" s="17" t="s">
        <v>100</v>
      </c>
      <c r="B107" s="83" t="s">
        <v>112</v>
      </c>
      <c r="C107" s="83"/>
      <c r="D107" s="83"/>
      <c r="E107" s="83"/>
      <c r="F107" s="83"/>
      <c r="G107" s="83"/>
      <c r="H107" s="83"/>
      <c r="I107" s="282" t="n">
        <f aca="false">I100</f>
        <v>584.32</v>
      </c>
    </row>
    <row r="108" customFormat="false" ht="15.75" hidden="false" customHeight="false" outlineLevel="0" collapsed="false">
      <c r="A108" s="60" t="s">
        <v>76</v>
      </c>
      <c r="B108" s="60"/>
      <c r="C108" s="60"/>
      <c r="D108" s="60"/>
      <c r="E108" s="60"/>
      <c r="F108" s="60"/>
      <c r="G108" s="60"/>
      <c r="H108" s="60"/>
      <c r="I108" s="275" t="n">
        <f aca="false">SUM(I103:I107)</f>
        <v>2019.5</v>
      </c>
      <c r="K108" s="106"/>
    </row>
    <row r="109" customFormat="false" ht="16.5" hidden="false" customHeight="true" outlineLevel="0" collapsed="false">
      <c r="A109" s="107" t="s">
        <v>113</v>
      </c>
      <c r="B109" s="107"/>
      <c r="C109" s="107"/>
      <c r="D109" s="107"/>
      <c r="E109" s="107"/>
      <c r="F109" s="107"/>
      <c r="G109" s="107"/>
      <c r="H109" s="107"/>
      <c r="I109" s="107"/>
    </row>
    <row r="110" customFormat="false" ht="15.75" hidden="false" customHeight="false" outlineLevel="0" collapsed="false">
      <c r="A110" s="62" t="n">
        <v>5</v>
      </c>
      <c r="B110" s="63" t="s">
        <v>114</v>
      </c>
      <c r="C110" s="63"/>
      <c r="D110" s="63"/>
      <c r="E110" s="63"/>
      <c r="F110" s="63"/>
      <c r="G110" s="63"/>
      <c r="H110" s="108" t="s">
        <v>63</v>
      </c>
      <c r="I110" s="272" t="s">
        <v>35</v>
      </c>
    </row>
    <row r="111" customFormat="false" ht="45.75" hidden="false" customHeight="true" outlineLevel="0" collapsed="false">
      <c r="A111" s="109" t="s">
        <v>115</v>
      </c>
      <c r="B111" s="109"/>
      <c r="C111" s="109"/>
      <c r="D111" s="109"/>
      <c r="E111" s="109"/>
      <c r="F111" s="109"/>
      <c r="G111" s="109"/>
      <c r="H111" s="110" t="n">
        <v>0</v>
      </c>
      <c r="I111" s="287" t="n">
        <f aca="false">(I42+I51+I56+I108)</f>
        <v>5989.50225</v>
      </c>
    </row>
    <row r="112" customFormat="false" ht="15.75" hidden="false" customHeight="false" outlineLevel="0" collapsed="false">
      <c r="A112" s="17" t="s">
        <v>8</v>
      </c>
      <c r="B112" s="83" t="s">
        <v>116</v>
      </c>
      <c r="C112" s="83"/>
      <c r="D112" s="83"/>
      <c r="E112" s="83"/>
      <c r="F112" s="83"/>
      <c r="G112" s="83"/>
      <c r="H112" s="112" t="n">
        <f aca="false">'Dom Pedrito 4.2'!H110</f>
        <v>0.1207</v>
      </c>
      <c r="I112" s="273" t="n">
        <f aca="false">ROUND(I111*H112,2)</f>
        <v>722.93</v>
      </c>
      <c r="J112" s="113"/>
    </row>
    <row r="113" customFormat="false" ht="48" hidden="false" customHeight="true" outlineLevel="0" collapsed="false">
      <c r="A113" s="109" t="s">
        <v>117</v>
      </c>
      <c r="B113" s="109"/>
      <c r="C113" s="109"/>
      <c r="D113" s="109"/>
      <c r="E113" s="109"/>
      <c r="F113" s="109"/>
      <c r="G113" s="109"/>
      <c r="H113" s="114" t="n">
        <v>0</v>
      </c>
      <c r="I113" s="288" t="n">
        <f aca="false">I111+I112</f>
        <v>6712.43225</v>
      </c>
      <c r="J113" s="113"/>
    </row>
    <row r="114" customFormat="false" ht="15.75" hidden="false" customHeight="false" outlineLevel="0" collapsed="false">
      <c r="A114" s="17" t="s">
        <v>10</v>
      </c>
      <c r="B114" s="83" t="s">
        <v>118</v>
      </c>
      <c r="C114" s="83"/>
      <c r="D114" s="83"/>
      <c r="E114" s="83"/>
      <c r="F114" s="83"/>
      <c r="G114" s="83"/>
      <c r="H114" s="112" t="n">
        <f aca="false">'Dom Pedrito 4.2'!H112</f>
        <v>0.0818</v>
      </c>
      <c r="I114" s="273" t="n">
        <f aca="false">ROUND(I113*H114,2)</f>
        <v>549.08</v>
      </c>
      <c r="J114" s="116"/>
    </row>
    <row r="115" customFormat="false" ht="46.5" hidden="false" customHeight="true" outlineLevel="0" collapsed="false">
      <c r="A115" s="109" t="s">
        <v>119</v>
      </c>
      <c r="B115" s="109"/>
      <c r="C115" s="109"/>
      <c r="D115" s="109"/>
      <c r="E115" s="109"/>
      <c r="F115" s="109"/>
      <c r="G115" s="109"/>
      <c r="H115" s="117" t="n">
        <v>0</v>
      </c>
      <c r="I115" s="289" t="n">
        <f aca="false">I113+I114</f>
        <v>7261.51225</v>
      </c>
      <c r="J115" s="116"/>
    </row>
    <row r="116" customFormat="false" ht="15.75" hidden="false" customHeight="false" outlineLevel="0" collapsed="false">
      <c r="A116" s="17" t="s">
        <v>12</v>
      </c>
      <c r="B116" s="83" t="s">
        <v>120</v>
      </c>
      <c r="C116" s="83"/>
      <c r="D116" s="83"/>
      <c r="E116" s="83"/>
      <c r="F116" s="83"/>
      <c r="G116" s="83"/>
      <c r="H116" s="119" t="s">
        <v>198</v>
      </c>
      <c r="I116" s="290" t="s">
        <v>198</v>
      </c>
      <c r="J116" s="116"/>
    </row>
    <row r="117" customFormat="false" ht="15.75" hidden="false" customHeight="false" outlineLevel="0" collapsed="false">
      <c r="A117" s="17"/>
      <c r="B117" s="83" t="s">
        <v>121</v>
      </c>
      <c r="C117" s="83"/>
      <c r="D117" s="83"/>
      <c r="E117" s="83"/>
      <c r="F117" s="83"/>
      <c r="G117" s="83"/>
      <c r="H117" s="119" t="s">
        <v>198</v>
      </c>
      <c r="I117" s="290" t="s">
        <v>198</v>
      </c>
    </row>
    <row r="118" customFormat="false" ht="29.25" hidden="false" customHeight="true" outlineLevel="0" collapsed="false">
      <c r="A118" s="17"/>
      <c r="B118" s="67" t="s">
        <v>199</v>
      </c>
      <c r="C118" s="67"/>
      <c r="D118" s="67"/>
      <c r="E118" s="67"/>
      <c r="F118" s="67"/>
      <c r="G118" s="67"/>
      <c r="H118" s="121" t="n">
        <v>0.03</v>
      </c>
      <c r="I118" s="273" t="n">
        <f aca="false">ROUND(($I$115/(1-H125))*H118,2)</f>
        <v>233.36</v>
      </c>
    </row>
    <row r="119" customFormat="false" ht="29.25" hidden="false" customHeight="true" outlineLevel="0" collapsed="false">
      <c r="A119" s="17"/>
      <c r="B119" s="67" t="s">
        <v>200</v>
      </c>
      <c r="C119" s="67"/>
      <c r="D119" s="67"/>
      <c r="E119" s="67"/>
      <c r="F119" s="67"/>
      <c r="G119" s="67"/>
      <c r="H119" s="121" t="n">
        <v>0.0065</v>
      </c>
      <c r="I119" s="273" t="n">
        <f aca="false">ROUND(($I$115/(1-H125))*H119,2)</f>
        <v>50.56</v>
      </c>
      <c r="K119" s="66"/>
    </row>
    <row r="120" customFormat="false" ht="30.75" hidden="false" customHeight="true" outlineLevel="0" collapsed="false">
      <c r="A120" s="17"/>
      <c r="B120" s="122" t="s">
        <v>124</v>
      </c>
      <c r="C120" s="122"/>
      <c r="D120" s="122"/>
      <c r="E120" s="122"/>
      <c r="F120" s="122"/>
      <c r="G120" s="122"/>
      <c r="H120" s="121" t="s">
        <v>198</v>
      </c>
      <c r="I120" s="290" t="s">
        <v>198</v>
      </c>
      <c r="K120" s="66"/>
    </row>
    <row r="121" customFormat="false" ht="15.75" hidden="false" customHeight="false" outlineLevel="0" collapsed="false">
      <c r="A121" s="17"/>
      <c r="B121" s="83" t="s">
        <v>125</v>
      </c>
      <c r="C121" s="83"/>
      <c r="D121" s="83"/>
      <c r="E121" s="83"/>
      <c r="F121" s="83"/>
      <c r="G121" s="83"/>
      <c r="H121" s="119" t="s">
        <v>198</v>
      </c>
      <c r="I121" s="290" t="s">
        <v>198</v>
      </c>
    </row>
    <row r="122" customFormat="false" ht="15.75" hidden="false" customHeight="false" outlineLevel="0" collapsed="false">
      <c r="A122" s="17"/>
      <c r="B122" s="83" t="s">
        <v>126</v>
      </c>
      <c r="C122" s="83"/>
      <c r="D122" s="83"/>
      <c r="E122" s="83"/>
      <c r="F122" s="83"/>
      <c r="G122" s="83"/>
      <c r="H122" s="119" t="s">
        <v>198</v>
      </c>
      <c r="I122" s="290" t="s">
        <v>198</v>
      </c>
      <c r="K122" s="66"/>
    </row>
    <row r="123" customFormat="false" ht="15.75" hidden="false" customHeight="false" outlineLevel="0" collapsed="false">
      <c r="A123" s="17"/>
      <c r="B123" s="52" t="s">
        <v>280</v>
      </c>
      <c r="C123" s="52"/>
      <c r="D123" s="52"/>
      <c r="E123" s="52"/>
      <c r="F123" s="52"/>
      <c r="G123" s="52"/>
      <c r="H123" s="124" t="n">
        <v>0.03</v>
      </c>
      <c r="I123" s="273" t="n">
        <f aca="false">ROUND(($I$115/(1-H125))*H123,2)</f>
        <v>233.36</v>
      </c>
    </row>
    <row r="124" customFormat="false" ht="15.75" hidden="false" customHeight="false" outlineLevel="0" collapsed="false">
      <c r="A124" s="125" t="s">
        <v>76</v>
      </c>
      <c r="B124" s="125"/>
      <c r="C124" s="125"/>
      <c r="D124" s="125"/>
      <c r="E124" s="125"/>
      <c r="F124" s="125"/>
      <c r="G124" s="125"/>
      <c r="H124" s="125"/>
      <c r="I124" s="291" t="n">
        <f aca="false">I112+I114+I118+I119+I123</f>
        <v>1789.29</v>
      </c>
    </row>
    <row r="125" customFormat="false" ht="15.75" hidden="false" customHeight="false" outlineLevel="0" collapsed="false">
      <c r="A125" s="127" t="s">
        <v>128</v>
      </c>
      <c r="B125" s="127"/>
      <c r="C125" s="127"/>
      <c r="D125" s="127"/>
      <c r="E125" s="127"/>
      <c r="F125" s="127"/>
      <c r="G125" s="127"/>
      <c r="H125" s="128" t="n">
        <f aca="false">SUM(H118:H123)</f>
        <v>0.0665</v>
      </c>
      <c r="I125" s="292" t="n">
        <f aca="false">SUM(I118+I119+I123)</f>
        <v>517.28</v>
      </c>
    </row>
    <row r="126" customFormat="false" ht="15.75" hidden="false" customHeight="false" outlineLevel="0" collapsed="false">
      <c r="A126" s="130" t="s">
        <v>129</v>
      </c>
      <c r="B126" s="130"/>
      <c r="C126" s="293" t="s">
        <v>130</v>
      </c>
      <c r="D126" s="293"/>
      <c r="E126" s="293"/>
      <c r="F126" s="293"/>
      <c r="G126" s="293"/>
      <c r="H126" s="293"/>
      <c r="I126" s="293"/>
    </row>
    <row r="127" customFormat="false" ht="15" hidden="false" customHeight="false" outlineLevel="0" collapsed="false">
      <c r="A127" s="130"/>
      <c r="B127" s="130"/>
      <c r="C127" s="294" t="s">
        <v>131</v>
      </c>
      <c r="D127" s="294"/>
      <c r="E127" s="294"/>
      <c r="F127" s="294"/>
      <c r="G127" s="294"/>
      <c r="H127" s="294"/>
      <c r="I127" s="294"/>
    </row>
    <row r="128" customFormat="false" ht="15.75" hidden="false" customHeight="false" outlineLevel="0" collapsed="false">
      <c r="A128" s="133" t="s">
        <v>132</v>
      </c>
      <c r="B128" s="133"/>
      <c r="C128" s="133"/>
      <c r="D128" s="133"/>
      <c r="E128" s="133"/>
      <c r="F128" s="133"/>
      <c r="G128" s="133"/>
      <c r="H128" s="133"/>
      <c r="I128" s="133"/>
    </row>
    <row r="129" customFormat="false" ht="15.75" hidden="false" customHeight="false" outlineLevel="0" collapsed="false">
      <c r="A129" s="94" t="s">
        <v>133</v>
      </c>
      <c r="B129" s="94"/>
      <c r="C129" s="94"/>
      <c r="D129" s="94"/>
      <c r="E129" s="94"/>
      <c r="F129" s="94"/>
      <c r="G129" s="94"/>
      <c r="H129" s="94"/>
      <c r="I129" s="94"/>
    </row>
    <row r="130" customFormat="false" ht="15.75" hidden="false" customHeight="false" outlineLevel="0" collapsed="false">
      <c r="A130" s="295"/>
      <c r="B130" s="295"/>
      <c r="C130" s="295"/>
      <c r="D130" s="295"/>
      <c r="E130" s="295"/>
      <c r="F130" s="295"/>
      <c r="G130" s="295"/>
      <c r="H130" s="295"/>
      <c r="I130" s="295"/>
    </row>
    <row r="131" customFormat="false" ht="15.75" hidden="false" customHeight="false" outlineLevel="0" collapsed="false">
      <c r="A131" s="33" t="s">
        <v>134</v>
      </c>
      <c r="B131" s="33"/>
      <c r="C131" s="33"/>
      <c r="D131" s="33"/>
      <c r="E131" s="33"/>
      <c r="F131" s="33"/>
      <c r="G131" s="33"/>
      <c r="H131" s="33"/>
      <c r="I131" s="33"/>
    </row>
    <row r="132" customFormat="false" ht="15.75" hidden="false" customHeight="false" outlineLevel="0" collapsed="false">
      <c r="A132" s="135" t="s">
        <v>135</v>
      </c>
      <c r="B132" s="135"/>
      <c r="C132" s="135"/>
      <c r="D132" s="135"/>
      <c r="E132" s="135"/>
      <c r="F132" s="135"/>
      <c r="G132" s="135"/>
      <c r="H132" s="135"/>
      <c r="I132" s="135"/>
    </row>
    <row r="133" customFormat="false" ht="15.75" hidden="false" customHeight="false" outlineLevel="0" collapsed="false">
      <c r="A133" s="136" t="s">
        <v>136</v>
      </c>
      <c r="B133" s="136"/>
      <c r="C133" s="136"/>
      <c r="D133" s="136"/>
      <c r="E133" s="136"/>
      <c r="F133" s="136"/>
      <c r="G133" s="136"/>
      <c r="H133" s="136"/>
      <c r="I133" s="296" t="s">
        <v>35</v>
      </c>
    </row>
    <row r="134" customFormat="false" ht="15.75" hidden="false" customHeight="false" outlineLevel="0" collapsed="false">
      <c r="A134" s="14" t="s">
        <v>8</v>
      </c>
      <c r="B134" s="15" t="s">
        <v>137</v>
      </c>
      <c r="C134" s="15"/>
      <c r="D134" s="15"/>
      <c r="E134" s="15"/>
      <c r="F134" s="15"/>
      <c r="G134" s="15"/>
      <c r="H134" s="15"/>
      <c r="I134" s="297" t="n">
        <f aca="false">I42</f>
        <v>3006.406</v>
      </c>
    </row>
    <row r="135" customFormat="false" ht="15.75" hidden="false" customHeight="false" outlineLevel="0" collapsed="false">
      <c r="A135" s="14" t="s">
        <v>10</v>
      </c>
      <c r="B135" s="15" t="s">
        <v>138</v>
      </c>
      <c r="C135" s="15"/>
      <c r="D135" s="15"/>
      <c r="E135" s="15"/>
      <c r="F135" s="15"/>
      <c r="G135" s="15"/>
      <c r="H135" s="15"/>
      <c r="I135" s="297" t="n">
        <f aca="false">I51</f>
        <v>825.92</v>
      </c>
    </row>
    <row r="136" customFormat="false" ht="15.75" hidden="false" customHeight="false" outlineLevel="0" collapsed="false">
      <c r="A136" s="14" t="s">
        <v>12</v>
      </c>
      <c r="B136" s="15" t="s">
        <v>139</v>
      </c>
      <c r="C136" s="15"/>
      <c r="D136" s="15"/>
      <c r="E136" s="15"/>
      <c r="F136" s="15"/>
      <c r="G136" s="15"/>
      <c r="H136" s="15"/>
      <c r="I136" s="298" t="n">
        <f aca="false">I56</f>
        <v>137.67625</v>
      </c>
    </row>
    <row r="137" customFormat="false" ht="15.75" hidden="false" customHeight="false" outlineLevel="0" collapsed="false">
      <c r="A137" s="14" t="s">
        <v>14</v>
      </c>
      <c r="B137" s="15" t="s">
        <v>109</v>
      </c>
      <c r="C137" s="15"/>
      <c r="D137" s="15"/>
      <c r="E137" s="15"/>
      <c r="F137" s="15"/>
      <c r="G137" s="15"/>
      <c r="H137" s="15"/>
      <c r="I137" s="297" t="n">
        <f aca="false">I108</f>
        <v>2019.5</v>
      </c>
    </row>
    <row r="138" customFormat="false" ht="15.75" hidden="false" customHeight="false" outlineLevel="0" collapsed="false">
      <c r="A138" s="140" t="s">
        <v>140</v>
      </c>
      <c r="B138" s="140"/>
      <c r="C138" s="140"/>
      <c r="D138" s="140"/>
      <c r="E138" s="140"/>
      <c r="F138" s="140"/>
      <c r="G138" s="140"/>
      <c r="H138" s="140"/>
      <c r="I138" s="299" t="n">
        <f aca="false">SUM(I134:I137)</f>
        <v>5989.50225</v>
      </c>
    </row>
    <row r="139" customFormat="false" ht="15.75" hidden="false" customHeight="false" outlineLevel="0" collapsed="false">
      <c r="A139" s="14" t="s">
        <v>40</v>
      </c>
      <c r="B139" s="15" t="s">
        <v>141</v>
      </c>
      <c r="C139" s="15"/>
      <c r="D139" s="15"/>
      <c r="E139" s="15"/>
      <c r="F139" s="15"/>
      <c r="G139" s="15"/>
      <c r="H139" s="15"/>
      <c r="I139" s="297" t="n">
        <f aca="false">I124</f>
        <v>1789.29</v>
      </c>
    </row>
    <row r="140" customFormat="false" ht="15.75" hidden="false" customHeight="false" outlineLevel="0" collapsed="false">
      <c r="A140" s="143" t="s">
        <v>142</v>
      </c>
      <c r="B140" s="143"/>
      <c r="C140" s="143"/>
      <c r="D140" s="143"/>
      <c r="E140" s="143"/>
      <c r="F140" s="143"/>
      <c r="G140" s="143"/>
      <c r="H140" s="143"/>
      <c r="I140" s="300" t="n">
        <f aca="false">SUM(I138+I139)</f>
        <v>7778.79225</v>
      </c>
    </row>
    <row r="141" customFormat="false" ht="15.75" hidden="false" customHeight="false" outlineLevel="0" collapsed="false">
      <c r="A141" s="301"/>
      <c r="B141" s="301"/>
      <c r="C141" s="301"/>
      <c r="D141" s="301"/>
      <c r="E141" s="301"/>
      <c r="F141" s="301"/>
      <c r="G141" s="301"/>
      <c r="H141" s="301"/>
      <c r="I141" s="301"/>
    </row>
    <row r="142" customFormat="false" ht="15.75" hidden="false" customHeight="false" outlineLevel="0" collapsed="false">
      <c r="A142" s="33" t="s">
        <v>143</v>
      </c>
      <c r="B142" s="33"/>
      <c r="C142" s="33"/>
      <c r="D142" s="33"/>
      <c r="E142" s="33"/>
      <c r="F142" s="33"/>
      <c r="G142" s="33"/>
      <c r="H142" s="33"/>
      <c r="I142" s="33"/>
    </row>
    <row r="143" customFormat="false" ht="15.75" hidden="false" customHeight="false" outlineLevel="0" collapsed="false">
      <c r="A143" s="146" t="s">
        <v>144</v>
      </c>
      <c r="B143" s="146"/>
      <c r="C143" s="146"/>
      <c r="D143" s="146"/>
      <c r="E143" s="146"/>
      <c r="F143" s="146"/>
      <c r="G143" s="146"/>
      <c r="H143" s="146"/>
      <c r="I143" s="146"/>
    </row>
    <row r="144" customFormat="false" ht="47.25" hidden="false" customHeight="true" outlineLevel="0" collapsed="false">
      <c r="A144" s="147" t="s">
        <v>145</v>
      </c>
      <c r="B144" s="147"/>
      <c r="C144" s="148" t="s">
        <v>146</v>
      </c>
      <c r="D144" s="148"/>
      <c r="E144" s="149" t="s">
        <v>147</v>
      </c>
      <c r="F144" s="148" t="s">
        <v>148</v>
      </c>
      <c r="G144" s="148"/>
      <c r="H144" s="148" t="s">
        <v>149</v>
      </c>
      <c r="I144" s="302" t="s">
        <v>150</v>
      </c>
    </row>
    <row r="145" customFormat="false" ht="18.75" hidden="false" customHeight="true" outlineLevel="0" collapsed="false">
      <c r="A145" s="151" t="s">
        <v>26</v>
      </c>
      <c r="B145" s="151"/>
      <c r="C145" s="152" t="n">
        <f aca="false">I140</f>
        <v>7778.79225</v>
      </c>
      <c r="D145" s="152"/>
      <c r="E145" s="153" t="n">
        <v>2</v>
      </c>
      <c r="F145" s="154" t="n">
        <f aca="false">C145</f>
        <v>7778.79225</v>
      </c>
      <c r="G145" s="154"/>
      <c r="H145" s="155" t="n">
        <v>3</v>
      </c>
      <c r="I145" s="303" t="n">
        <f aca="false">F145*H145</f>
        <v>23336.37675</v>
      </c>
    </row>
    <row r="146" customFormat="false" ht="15.75" hidden="false" customHeight="false" outlineLevel="0" collapsed="false">
      <c r="A146" s="301"/>
      <c r="B146" s="301"/>
      <c r="C146" s="301"/>
      <c r="D146" s="301"/>
      <c r="E146" s="301"/>
      <c r="F146" s="301"/>
      <c r="G146" s="301"/>
      <c r="H146" s="301"/>
      <c r="I146" s="301"/>
    </row>
    <row r="147" customFormat="false" ht="15.75" hidden="false" customHeight="false" outlineLevel="0" collapsed="false">
      <c r="A147" s="33" t="s">
        <v>151</v>
      </c>
      <c r="B147" s="33"/>
      <c r="C147" s="33"/>
      <c r="D147" s="33"/>
      <c r="E147" s="33"/>
      <c r="F147" s="33"/>
      <c r="G147" s="33"/>
      <c r="H147" s="33"/>
      <c r="I147" s="33"/>
    </row>
    <row r="148" customFormat="false" ht="15.75" hidden="false" customHeight="false" outlineLevel="0" collapsed="false">
      <c r="A148" s="146" t="s">
        <v>152</v>
      </c>
      <c r="B148" s="146"/>
      <c r="C148" s="146"/>
      <c r="D148" s="146"/>
      <c r="E148" s="146"/>
      <c r="F148" s="146"/>
      <c r="G148" s="146"/>
      <c r="H148" s="146"/>
      <c r="I148" s="146"/>
    </row>
    <row r="149" customFormat="false" ht="15.75" hidden="false" customHeight="false" outlineLevel="0" collapsed="false">
      <c r="A149" s="157" t="s">
        <v>153</v>
      </c>
      <c r="B149" s="157"/>
      <c r="C149" s="157"/>
      <c r="D149" s="157"/>
      <c r="E149" s="157"/>
      <c r="F149" s="157"/>
      <c r="G149" s="157"/>
      <c r="H149" s="157"/>
      <c r="I149" s="157"/>
    </row>
    <row r="150" customFormat="false" ht="15.75" hidden="false" customHeight="false" outlineLevel="0" collapsed="false">
      <c r="A150" s="158" t="s">
        <v>8</v>
      </c>
      <c r="B150" s="15" t="s">
        <v>154</v>
      </c>
      <c r="C150" s="15"/>
      <c r="D150" s="15"/>
      <c r="E150" s="15"/>
      <c r="F150" s="15"/>
      <c r="G150" s="15"/>
      <c r="H150" s="15"/>
      <c r="I150" s="304" t="n">
        <f aca="false">F145</f>
        <v>7778.79225</v>
      </c>
    </row>
    <row r="151" customFormat="false" ht="15.75" hidden="false" customHeight="false" outlineLevel="0" collapsed="false">
      <c r="A151" s="158" t="s">
        <v>10</v>
      </c>
      <c r="B151" s="15" t="s">
        <v>155</v>
      </c>
      <c r="C151" s="15"/>
      <c r="D151" s="15"/>
      <c r="E151" s="15"/>
      <c r="F151" s="15"/>
      <c r="G151" s="15"/>
      <c r="H151" s="15"/>
      <c r="I151" s="305" t="n">
        <f aca="false">I145</f>
        <v>23336.37675</v>
      </c>
    </row>
    <row r="152" customFormat="false" ht="16.5" hidden="false" customHeight="true" outlineLevel="0" collapsed="false">
      <c r="A152" s="161" t="s">
        <v>12</v>
      </c>
      <c r="B152" s="162" t="s">
        <v>156</v>
      </c>
      <c r="C152" s="162"/>
      <c r="D152" s="162"/>
      <c r="E152" s="162"/>
      <c r="F152" s="162"/>
      <c r="G152" s="162"/>
      <c r="H152" s="162"/>
      <c r="I152" s="306" t="n">
        <f aca="false">I151*12</f>
        <v>280036.521</v>
      </c>
    </row>
  </sheetData>
  <mergeCells count="157">
    <mergeCell ref="A8:I8"/>
    <mergeCell ref="A9:I9"/>
    <mergeCell ref="A10:I10"/>
    <mergeCell ref="A11:I11"/>
    <mergeCell ref="A12:I12"/>
    <mergeCell ref="A13:I13"/>
    <mergeCell ref="A14:I14"/>
    <mergeCell ref="B15:H15"/>
    <mergeCell ref="B16:H16"/>
    <mergeCell ref="B17:H17"/>
    <mergeCell ref="B18:H18"/>
    <mergeCell ref="A19:I19"/>
    <mergeCell ref="A20:D20"/>
    <mergeCell ref="E20:F20"/>
    <mergeCell ref="G20:I20"/>
    <mergeCell ref="A21:D21"/>
    <mergeCell ref="E21:F22"/>
    <mergeCell ref="G21:I22"/>
    <mergeCell ref="A22:D22"/>
    <mergeCell ref="B23:I23"/>
    <mergeCell ref="A24:I24"/>
    <mergeCell ref="A25:I25"/>
    <mergeCell ref="A26:I26"/>
    <mergeCell ref="B27:H27"/>
    <mergeCell ref="B28:H28"/>
    <mergeCell ref="B29:H29"/>
    <mergeCell ref="B30:H30"/>
    <mergeCell ref="B31:H31"/>
    <mergeCell ref="B32:H32"/>
    <mergeCell ref="B33:H33"/>
    <mergeCell ref="A34:I34"/>
    <mergeCell ref="A35:I35"/>
    <mergeCell ref="B36:H36"/>
    <mergeCell ref="B37:H37"/>
    <mergeCell ref="B38:H38"/>
    <mergeCell ref="B39:H39"/>
    <mergeCell ref="B40:H40"/>
    <mergeCell ref="B41:H41"/>
    <mergeCell ref="A42:H42"/>
    <mergeCell ref="A43:I43"/>
    <mergeCell ref="B44:H44"/>
    <mergeCell ref="A45:A47"/>
    <mergeCell ref="B45:H45"/>
    <mergeCell ref="B46:G46"/>
    <mergeCell ref="B47:G47"/>
    <mergeCell ref="A48:A49"/>
    <mergeCell ref="B48:H48"/>
    <mergeCell ref="B49:G49"/>
    <mergeCell ref="B50:H50"/>
    <mergeCell ref="A51:H51"/>
    <mergeCell ref="A52:I52"/>
    <mergeCell ref="A53:I53"/>
    <mergeCell ref="B54:H54"/>
    <mergeCell ref="B55:H55"/>
    <mergeCell ref="A56:H56"/>
    <mergeCell ref="A57:I57"/>
    <mergeCell ref="A58:I58"/>
    <mergeCell ref="B59:G59"/>
    <mergeCell ref="B60:G60"/>
    <mergeCell ref="B61:G61"/>
    <mergeCell ref="B62:G62"/>
    <mergeCell ref="B63:G63"/>
    <mergeCell ref="B64:G64"/>
    <mergeCell ref="B65:G65"/>
    <mergeCell ref="B66:E66"/>
    <mergeCell ref="B67:G67"/>
    <mergeCell ref="A68:G68"/>
    <mergeCell ref="A69:I69"/>
    <mergeCell ref="A70:I70"/>
    <mergeCell ref="A71:I71"/>
    <mergeCell ref="B72:H72"/>
    <mergeCell ref="B73:H73"/>
    <mergeCell ref="A74:H74"/>
    <mergeCell ref="B75:H75"/>
    <mergeCell ref="A76:H76"/>
    <mergeCell ref="A77:I77"/>
    <mergeCell ref="B78:H78"/>
    <mergeCell ref="B79:H79"/>
    <mergeCell ref="B80:H80"/>
    <mergeCell ref="A81:H81"/>
    <mergeCell ref="A82:I82"/>
    <mergeCell ref="B83:H83"/>
    <mergeCell ref="B84:H84"/>
    <mergeCell ref="B85:H85"/>
    <mergeCell ref="B86:H86"/>
    <mergeCell ref="B87:H87"/>
    <mergeCell ref="B88:H88"/>
    <mergeCell ref="B89:H89"/>
    <mergeCell ref="A90:H90"/>
    <mergeCell ref="A91:I91"/>
    <mergeCell ref="B92:H92"/>
    <mergeCell ref="B93:H93"/>
    <mergeCell ref="B94:H94"/>
    <mergeCell ref="B95:H95"/>
    <mergeCell ref="B96:H96"/>
    <mergeCell ref="B97:H97"/>
    <mergeCell ref="A98:H98"/>
    <mergeCell ref="B99:H99"/>
    <mergeCell ref="A100:H100"/>
    <mergeCell ref="A101:I101"/>
    <mergeCell ref="B102:H102"/>
    <mergeCell ref="B103:H103"/>
    <mergeCell ref="B104:H104"/>
    <mergeCell ref="B105:H105"/>
    <mergeCell ref="B106:H106"/>
    <mergeCell ref="B107:H107"/>
    <mergeCell ref="A108:H108"/>
    <mergeCell ref="A109:I109"/>
    <mergeCell ref="B110:G110"/>
    <mergeCell ref="A111:G111"/>
    <mergeCell ref="B112:G112"/>
    <mergeCell ref="A113:G113"/>
    <mergeCell ref="B114:G114"/>
    <mergeCell ref="A115:G115"/>
    <mergeCell ref="A116:A123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A124:H124"/>
    <mergeCell ref="A125:G125"/>
    <mergeCell ref="A126:B127"/>
    <mergeCell ref="C126:I126"/>
    <mergeCell ref="C127:I127"/>
    <mergeCell ref="A128:I128"/>
    <mergeCell ref="A129:I129"/>
    <mergeCell ref="A130:I130"/>
    <mergeCell ref="A131:I131"/>
    <mergeCell ref="A132:I132"/>
    <mergeCell ref="A133:H133"/>
    <mergeCell ref="B134:H134"/>
    <mergeCell ref="B135:H135"/>
    <mergeCell ref="B136:H136"/>
    <mergeCell ref="B137:H137"/>
    <mergeCell ref="A138:H138"/>
    <mergeCell ref="B139:H139"/>
    <mergeCell ref="A140:H140"/>
    <mergeCell ref="A141:I141"/>
    <mergeCell ref="A142:I142"/>
    <mergeCell ref="A143:I143"/>
    <mergeCell ref="A144:B144"/>
    <mergeCell ref="C144:D144"/>
    <mergeCell ref="F144:G144"/>
    <mergeCell ref="A145:B145"/>
    <mergeCell ref="C145:D145"/>
    <mergeCell ref="F145:G145"/>
    <mergeCell ref="A146:I146"/>
    <mergeCell ref="A147:I147"/>
    <mergeCell ref="A148:I148"/>
    <mergeCell ref="A149:I149"/>
    <mergeCell ref="B150:H150"/>
    <mergeCell ref="B151:H151"/>
    <mergeCell ref="B152:H152"/>
  </mergeCells>
  <printOptions headings="false" gridLines="false" gridLinesSet="true" horizontalCentered="false" verticalCentered="false"/>
  <pageMargins left="0.698611111111111" right="0.698611111111111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6" man="true" max="16383" min="0"/>
    <brk id="108" man="true" max="16383" min="0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N150"/>
  <sheetViews>
    <sheetView showFormulas="false" showGridLines="true" showRowColHeaders="true" showZeros="true" rightToLeft="false" tabSelected="false" showOutlineSymbols="true" defaultGridColor="true" view="pageBreakPreview" topLeftCell="B130" colorId="64" zoomScale="76" zoomScaleNormal="100" zoomScalePageLayoutView="76" workbookViewId="0">
      <selection pane="topLeft" activeCell="I39" activeCellId="0" sqref="I39"/>
    </sheetView>
  </sheetViews>
  <sheetFormatPr defaultRowHeight="15" zeroHeight="false" outlineLevelRow="0" outlineLevelCol="0"/>
  <cols>
    <col collapsed="false" customWidth="true" hidden="false" outlineLevel="0" max="1" min="1" style="1" width="18.71"/>
    <col collapsed="false" customWidth="true" hidden="false" outlineLevel="0" max="3" min="2" style="1" width="22.14"/>
    <col collapsed="false" customWidth="true" hidden="false" outlineLevel="0" max="4" min="4" style="1" width="18"/>
    <col collapsed="false" customWidth="true" hidden="false" outlineLevel="0" max="5" min="5" style="1" width="20.57"/>
    <col collapsed="false" customWidth="true" hidden="false" outlineLevel="0" max="6" min="6" style="1" width="20.14"/>
    <col collapsed="false" customWidth="true" hidden="false" outlineLevel="0" max="7" min="7" style="1" width="23.28"/>
    <col collapsed="false" customWidth="true" hidden="false" outlineLevel="0" max="8" min="8" style="1" width="33.14"/>
    <col collapsed="false" customWidth="true" hidden="false" outlineLevel="0" max="9" min="9" style="1" width="43"/>
    <col collapsed="false" customWidth="true" hidden="true" outlineLevel="0" max="11" min="10" style="1" width="9"/>
    <col collapsed="false" customWidth="true" hidden="false" outlineLevel="0" max="12" min="12" style="1" width="58.57"/>
    <col collapsed="false" customWidth="true" hidden="false" outlineLevel="0" max="1025" min="13" style="1" width="28.57"/>
  </cols>
  <sheetData>
    <row r="1" s="101" customFormat="true" ht="15.75" hidden="false" customHeight="false" outlineLevel="0" collapsed="false">
      <c r="A1" s="173" t="s">
        <v>178</v>
      </c>
      <c r="I1" s="261"/>
    </row>
    <row r="2" s="101" customFormat="true" ht="15.75" hidden="false" customHeight="false" outlineLevel="0" collapsed="false">
      <c r="A2" s="173" t="s">
        <v>179</v>
      </c>
      <c r="I2" s="261"/>
    </row>
    <row r="3" s="101" customFormat="true" ht="15.75" hidden="false" customHeight="false" outlineLevel="0" collapsed="false">
      <c r="A3" s="173" t="s">
        <v>180</v>
      </c>
      <c r="I3" s="261"/>
    </row>
    <row r="4" s="101" customFormat="true" ht="15.75" hidden="false" customHeight="false" outlineLevel="0" collapsed="false">
      <c r="A4" s="173" t="s">
        <v>181</v>
      </c>
      <c r="I4" s="261"/>
    </row>
    <row r="5" s="101" customFormat="true" ht="15.75" hidden="false" customHeight="false" outlineLevel="0" collapsed="false">
      <c r="A5" s="173" t="s">
        <v>182</v>
      </c>
      <c r="I5" s="261"/>
    </row>
    <row r="6" s="101" customFormat="true" ht="15.75" hidden="false" customHeight="false" outlineLevel="0" collapsed="false">
      <c r="A6" s="173" t="s">
        <v>183</v>
      </c>
      <c r="I6" s="261"/>
    </row>
    <row r="7" customFormat="false" ht="15.75" hidden="false" customHeight="false" outlineLevel="0" collapsed="false">
      <c r="A7" s="174" t="s">
        <v>184</v>
      </c>
      <c r="I7" s="262"/>
    </row>
    <row r="8" customFormat="false" ht="15.75" hidden="false" customHeight="false" outlineLevel="0" collapsed="false">
      <c r="A8" s="263" t="s">
        <v>1</v>
      </c>
      <c r="B8" s="263"/>
      <c r="C8" s="263"/>
      <c r="D8" s="263"/>
      <c r="E8" s="263"/>
      <c r="F8" s="263"/>
      <c r="G8" s="263"/>
      <c r="H8" s="263"/>
      <c r="I8" s="263"/>
    </row>
    <row r="9" customFormat="false" ht="15.75" hidden="false" customHeight="false" outlineLevel="0" collapsed="false">
      <c r="A9" s="4" t="s">
        <v>2</v>
      </c>
      <c r="B9" s="4"/>
      <c r="C9" s="4"/>
      <c r="D9" s="4"/>
      <c r="E9" s="4"/>
      <c r="F9" s="4"/>
      <c r="G9" s="4"/>
      <c r="H9" s="4"/>
      <c r="I9" s="4"/>
    </row>
    <row r="10" customFormat="false" ht="15.75" hidden="false" customHeight="false" outlineLevel="0" collapsed="false">
      <c r="A10" s="5" t="s">
        <v>3</v>
      </c>
      <c r="B10" s="5"/>
      <c r="C10" s="5"/>
      <c r="D10" s="5"/>
      <c r="E10" s="5"/>
      <c r="F10" s="5"/>
      <c r="G10" s="5"/>
      <c r="H10" s="5"/>
      <c r="I10" s="5"/>
    </row>
    <row r="11" customFormat="false" ht="15.75" hidden="false" customHeight="false" outlineLevel="0" collapsed="false">
      <c r="A11" s="6" t="s">
        <v>4</v>
      </c>
      <c r="B11" s="6"/>
      <c r="C11" s="6"/>
      <c r="D11" s="6"/>
      <c r="E11" s="6"/>
      <c r="F11" s="6"/>
      <c r="G11" s="6"/>
      <c r="H11" s="6"/>
      <c r="I11" s="6"/>
    </row>
    <row r="12" customFormat="false" ht="15.75" hidden="false" customHeight="false" outlineLevel="0" collapsed="false">
      <c r="A12" s="7" t="s">
        <v>5</v>
      </c>
      <c r="B12" s="7"/>
      <c r="C12" s="7"/>
      <c r="D12" s="7"/>
      <c r="E12" s="7"/>
      <c r="F12" s="7"/>
      <c r="G12" s="7"/>
      <c r="H12" s="7"/>
      <c r="I12" s="7"/>
    </row>
    <row r="13" customFormat="false" ht="15.75" hidden="false" customHeight="false" outlineLevel="0" collapsed="false">
      <c r="A13" s="8" t="s">
        <v>6</v>
      </c>
      <c r="B13" s="8"/>
      <c r="C13" s="8"/>
      <c r="D13" s="8"/>
      <c r="E13" s="8"/>
      <c r="F13" s="8"/>
      <c r="G13" s="8"/>
      <c r="H13" s="8"/>
      <c r="I13" s="8"/>
    </row>
    <row r="14" customFormat="false" ht="15.75" hidden="false" customHeight="false" outlineLevel="0" collapsed="false">
      <c r="A14" s="179" t="s">
        <v>7</v>
      </c>
      <c r="B14" s="179"/>
      <c r="C14" s="179"/>
      <c r="D14" s="179"/>
      <c r="E14" s="179"/>
      <c r="F14" s="179"/>
      <c r="G14" s="179"/>
      <c r="H14" s="179"/>
      <c r="I14" s="179"/>
    </row>
    <row r="15" customFormat="false" ht="15.75" hidden="false" customHeight="false" outlineLevel="0" collapsed="false">
      <c r="A15" s="10" t="s">
        <v>8</v>
      </c>
      <c r="B15" s="11" t="s">
        <v>9</v>
      </c>
      <c r="C15" s="11"/>
      <c r="D15" s="11"/>
      <c r="E15" s="11"/>
      <c r="F15" s="11"/>
      <c r="G15" s="11"/>
      <c r="H15" s="11"/>
      <c r="I15" s="264"/>
    </row>
    <row r="16" customFormat="false" ht="15.75" hidden="false" customHeight="false" outlineLevel="0" collapsed="false">
      <c r="A16" s="14" t="s">
        <v>10</v>
      </c>
      <c r="B16" s="15" t="s">
        <v>11</v>
      </c>
      <c r="C16" s="15"/>
      <c r="D16" s="15"/>
      <c r="E16" s="15"/>
      <c r="F16" s="15"/>
      <c r="G16" s="15"/>
      <c r="H16" s="15"/>
      <c r="I16" s="265" t="s">
        <v>281</v>
      </c>
    </row>
    <row r="17" customFormat="false" ht="47.25" hidden="false" customHeight="true" outlineLevel="0" collapsed="false">
      <c r="A17" s="17" t="s">
        <v>12</v>
      </c>
      <c r="B17" s="18" t="s">
        <v>13</v>
      </c>
      <c r="C17" s="18"/>
      <c r="D17" s="18"/>
      <c r="E17" s="18"/>
      <c r="F17" s="18"/>
      <c r="G17" s="18"/>
      <c r="H17" s="18"/>
      <c r="I17" s="266" t="s">
        <v>186</v>
      </c>
    </row>
    <row r="18" customFormat="false" ht="15.75" hidden="false" customHeight="false" outlineLevel="0" collapsed="false">
      <c r="A18" s="20" t="s">
        <v>14</v>
      </c>
      <c r="B18" s="21" t="s">
        <v>15</v>
      </c>
      <c r="C18" s="21"/>
      <c r="D18" s="21"/>
      <c r="E18" s="21"/>
      <c r="F18" s="21"/>
      <c r="G18" s="21"/>
      <c r="H18" s="21"/>
      <c r="I18" s="267" t="n">
        <v>12</v>
      </c>
    </row>
    <row r="19" customFormat="false" ht="15.75" hidden="false" customHeight="false" outlineLevel="0" collapsed="false">
      <c r="A19" s="179" t="s">
        <v>16</v>
      </c>
      <c r="B19" s="179"/>
      <c r="C19" s="179"/>
      <c r="D19" s="179"/>
      <c r="E19" s="179"/>
      <c r="F19" s="179"/>
      <c r="G19" s="179"/>
      <c r="H19" s="179"/>
      <c r="I19" s="179"/>
    </row>
    <row r="20" customFormat="false" ht="15.75" hidden="false" customHeight="false" outlineLevel="0" collapsed="false">
      <c r="A20" s="23" t="s">
        <v>17</v>
      </c>
      <c r="B20" s="23"/>
      <c r="C20" s="23"/>
      <c r="D20" s="23"/>
      <c r="E20" s="24" t="s">
        <v>18</v>
      </c>
      <c r="F20" s="24"/>
      <c r="G20" s="25" t="s">
        <v>19</v>
      </c>
      <c r="H20" s="25"/>
      <c r="I20" s="25"/>
    </row>
    <row r="21" customFormat="false" ht="15.75" hidden="false" customHeight="true" outlineLevel="0" collapsed="false">
      <c r="A21" s="26" t="s">
        <v>20</v>
      </c>
      <c r="B21" s="26"/>
      <c r="C21" s="26"/>
      <c r="D21" s="26"/>
      <c r="E21" s="27" t="s">
        <v>21</v>
      </c>
      <c r="F21" s="27"/>
      <c r="G21" s="28" t="n">
        <v>1</v>
      </c>
      <c r="H21" s="28"/>
      <c r="I21" s="28"/>
    </row>
    <row r="22" customFormat="false" ht="16.5" hidden="false" customHeight="true" outlineLevel="0" collapsed="false">
      <c r="A22" s="465" t="s">
        <v>246</v>
      </c>
      <c r="B22" s="465"/>
      <c r="C22" s="465"/>
      <c r="D22" s="465"/>
      <c r="E22" s="27"/>
      <c r="F22" s="27"/>
      <c r="G22" s="28"/>
      <c r="H22" s="28"/>
      <c r="I22" s="28"/>
      <c r="L22" s="30"/>
    </row>
    <row r="23" customFormat="false" ht="15.75" hidden="false" customHeight="false" outlineLevel="0" collapsed="false">
      <c r="A23" s="31"/>
      <c r="B23" s="269"/>
      <c r="C23" s="269"/>
      <c r="D23" s="269"/>
      <c r="E23" s="269"/>
      <c r="F23" s="269"/>
      <c r="G23" s="269"/>
      <c r="H23" s="269"/>
      <c r="I23" s="269"/>
    </row>
    <row r="24" customFormat="false" ht="15.75" hidden="false" customHeight="false" outlineLevel="0" collapsed="false">
      <c r="A24" s="33" t="s">
        <v>22</v>
      </c>
      <c r="B24" s="33"/>
      <c r="C24" s="33"/>
      <c r="D24" s="33"/>
      <c r="E24" s="33"/>
      <c r="F24" s="33"/>
      <c r="G24" s="33"/>
      <c r="H24" s="33"/>
      <c r="I24" s="33"/>
    </row>
    <row r="25" customFormat="false" ht="15.75" hidden="false" customHeight="false" outlineLevel="0" collapsed="false">
      <c r="A25" s="34" t="s">
        <v>23</v>
      </c>
      <c r="B25" s="34"/>
      <c r="C25" s="34"/>
      <c r="D25" s="34"/>
      <c r="E25" s="34"/>
      <c r="F25" s="34"/>
      <c r="G25" s="34"/>
      <c r="H25" s="34"/>
      <c r="I25" s="34"/>
    </row>
    <row r="26" customFormat="false" ht="15.75" hidden="false" customHeight="false" outlineLevel="0" collapsed="false">
      <c r="A26" s="35" t="s">
        <v>24</v>
      </c>
      <c r="B26" s="35"/>
      <c r="C26" s="35"/>
      <c r="D26" s="35"/>
      <c r="E26" s="35"/>
      <c r="F26" s="35"/>
      <c r="G26" s="35"/>
      <c r="H26" s="35"/>
      <c r="I26" s="35"/>
    </row>
    <row r="27" customFormat="false" ht="15.75" hidden="false" customHeight="true" outlineLevel="0" collapsed="false">
      <c r="A27" s="14" t="n">
        <v>1</v>
      </c>
      <c r="B27" s="36" t="s">
        <v>25</v>
      </c>
      <c r="C27" s="36"/>
      <c r="D27" s="36"/>
      <c r="E27" s="36"/>
      <c r="F27" s="36"/>
      <c r="G27" s="36"/>
      <c r="H27" s="36"/>
      <c r="I27" s="266" t="s">
        <v>26</v>
      </c>
    </row>
    <row r="28" customFormat="false" ht="15.75" hidden="false" customHeight="true" outlineLevel="0" collapsed="false">
      <c r="A28" s="14" t="n">
        <v>2</v>
      </c>
      <c r="B28" s="38" t="s">
        <v>27</v>
      </c>
      <c r="C28" s="38"/>
      <c r="D28" s="38"/>
      <c r="E28" s="38"/>
      <c r="F28" s="38"/>
      <c r="G28" s="38"/>
      <c r="H28" s="38"/>
      <c r="I28" s="265" t="n">
        <f aca="false">Dados!B2</f>
        <v>1305.17</v>
      </c>
    </row>
    <row r="29" customFormat="false" ht="15.75" hidden="false" customHeight="true" outlineLevel="0" collapsed="false">
      <c r="A29" s="14" t="n">
        <v>3</v>
      </c>
      <c r="B29" s="38" t="s">
        <v>28</v>
      </c>
      <c r="C29" s="38"/>
      <c r="D29" s="38"/>
      <c r="E29" s="38"/>
      <c r="F29" s="38"/>
      <c r="G29" s="38"/>
      <c r="H29" s="38"/>
      <c r="I29" s="265" t="s">
        <v>188</v>
      </c>
    </row>
    <row r="30" customFormat="false" ht="15.75" hidden="false" customHeight="true" outlineLevel="0" collapsed="false">
      <c r="A30" s="40" t="n">
        <v>4</v>
      </c>
      <c r="B30" s="41" t="s">
        <v>29</v>
      </c>
      <c r="C30" s="41"/>
      <c r="D30" s="41"/>
      <c r="E30" s="41"/>
      <c r="F30" s="41"/>
      <c r="G30" s="41"/>
      <c r="H30" s="41"/>
      <c r="I30" s="270" t="n">
        <v>42005</v>
      </c>
    </row>
    <row r="31" customFormat="false" ht="15.75" hidden="false" customHeight="true" outlineLevel="0" collapsed="false">
      <c r="A31" s="40" t="n">
        <v>5</v>
      </c>
      <c r="B31" s="38" t="s">
        <v>30</v>
      </c>
      <c r="C31" s="38"/>
      <c r="D31" s="38"/>
      <c r="E31" s="38"/>
      <c r="F31" s="38"/>
      <c r="G31" s="38"/>
      <c r="H31" s="38"/>
      <c r="I31" s="270" t="n">
        <f aca="false">I28/220</f>
        <v>5.93259090909091</v>
      </c>
    </row>
    <row r="32" customFormat="false" ht="15.75" hidden="false" customHeight="true" outlineLevel="0" collapsed="false">
      <c r="A32" s="40" t="n">
        <v>6</v>
      </c>
      <c r="B32" s="38" t="s">
        <v>31</v>
      </c>
      <c r="C32" s="38"/>
      <c r="D32" s="38"/>
      <c r="E32" s="38"/>
      <c r="F32" s="38"/>
      <c r="G32" s="38"/>
      <c r="H32" s="38"/>
      <c r="I32" s="270" t="n">
        <f aca="false">I31*1.5</f>
        <v>8.89888636363636</v>
      </c>
    </row>
    <row r="33" customFormat="false" ht="16.5" hidden="false" customHeight="true" outlineLevel="0" collapsed="false">
      <c r="A33" s="20" t="n">
        <v>7</v>
      </c>
      <c r="B33" s="44" t="s">
        <v>32</v>
      </c>
      <c r="C33" s="44"/>
      <c r="D33" s="44"/>
      <c r="E33" s="44"/>
      <c r="F33" s="44"/>
      <c r="G33" s="44"/>
      <c r="H33" s="44"/>
      <c r="I33" s="267" t="n">
        <f aca="false">I31*0.2</f>
        <v>1.18651818181818</v>
      </c>
    </row>
    <row r="34" customFormat="false" ht="15.75" hidden="false" customHeight="false" outlineLevel="0" collapsed="false">
      <c r="A34" s="271"/>
      <c r="B34" s="271"/>
      <c r="C34" s="271"/>
      <c r="D34" s="271"/>
      <c r="E34" s="271"/>
      <c r="F34" s="271"/>
      <c r="G34" s="271"/>
      <c r="H34" s="271"/>
      <c r="I34" s="271"/>
    </row>
    <row r="35" customFormat="false" ht="15.75" hidden="false" customHeight="false" outlineLevel="0" collapsed="false">
      <c r="A35" s="47" t="s">
        <v>33</v>
      </c>
      <c r="B35" s="47"/>
      <c r="C35" s="47"/>
      <c r="D35" s="47"/>
      <c r="E35" s="47"/>
      <c r="F35" s="47"/>
      <c r="G35" s="47"/>
      <c r="H35" s="47"/>
      <c r="I35" s="47"/>
    </row>
    <row r="36" customFormat="false" ht="15.75" hidden="false" customHeight="false" outlineLevel="0" collapsed="false">
      <c r="A36" s="48" t="n">
        <v>1</v>
      </c>
      <c r="B36" s="49" t="s">
        <v>34</v>
      </c>
      <c r="C36" s="49"/>
      <c r="D36" s="49"/>
      <c r="E36" s="49"/>
      <c r="F36" s="49"/>
      <c r="G36" s="49"/>
      <c r="H36" s="49"/>
      <c r="I36" s="272" t="s">
        <v>35</v>
      </c>
      <c r="L36" s="51"/>
    </row>
    <row r="37" customFormat="false" ht="15.75" hidden="false" customHeight="false" outlineLevel="0" collapsed="false">
      <c r="A37" s="17" t="s">
        <v>8</v>
      </c>
      <c r="B37" s="52" t="s">
        <v>189</v>
      </c>
      <c r="C37" s="52"/>
      <c r="D37" s="52"/>
      <c r="E37" s="52"/>
      <c r="F37" s="52"/>
      <c r="G37" s="52"/>
      <c r="H37" s="52"/>
      <c r="I37" s="273" t="n">
        <f aca="false">ROUND(I31*150*2,2)</f>
        <v>1779.78</v>
      </c>
      <c r="L37" s="51"/>
    </row>
    <row r="38" customFormat="false" ht="15.75" hidden="false" customHeight="false" outlineLevel="0" collapsed="false">
      <c r="A38" s="17" t="s">
        <v>10</v>
      </c>
      <c r="B38" s="74" t="s">
        <v>282</v>
      </c>
      <c r="C38" s="74"/>
      <c r="D38" s="74"/>
      <c r="E38" s="74"/>
      <c r="F38" s="74"/>
      <c r="G38" s="74"/>
      <c r="H38" s="74"/>
      <c r="I38" s="273" t="n">
        <f aca="false">ROUND(I32*21*2*(15/60),2)</f>
        <v>93.44</v>
      </c>
      <c r="L38" s="55"/>
    </row>
    <row r="39" customFormat="false" ht="18" hidden="false" customHeight="true" outlineLevel="0" collapsed="false">
      <c r="A39" s="17" t="s">
        <v>12</v>
      </c>
      <c r="B39" s="58" t="s">
        <v>43</v>
      </c>
      <c r="C39" s="58"/>
      <c r="D39" s="58"/>
      <c r="E39" s="58"/>
      <c r="F39" s="58"/>
      <c r="G39" s="58"/>
      <c r="H39" s="58"/>
      <c r="I39" s="336" t="n">
        <f aca="false">SUM(I38:I38)*0.2</f>
        <v>18.688</v>
      </c>
      <c r="K39" s="59"/>
    </row>
    <row r="40" customFormat="false" ht="15.75" hidden="false" customHeight="false" outlineLevel="0" collapsed="false">
      <c r="A40" s="60" t="s">
        <v>44</v>
      </c>
      <c r="B40" s="60"/>
      <c r="C40" s="60"/>
      <c r="D40" s="60"/>
      <c r="E40" s="60"/>
      <c r="F40" s="60"/>
      <c r="G40" s="60"/>
      <c r="H40" s="60"/>
      <c r="I40" s="275" t="n">
        <f aca="false">SUM(I37:I39)</f>
        <v>1891.908</v>
      </c>
    </row>
    <row r="41" customFormat="false" ht="15.75" hidden="false" customHeight="false" outlineLevel="0" collapsed="false">
      <c r="A41" s="47" t="s">
        <v>45</v>
      </c>
      <c r="B41" s="47"/>
      <c r="C41" s="47"/>
      <c r="D41" s="47"/>
      <c r="E41" s="47"/>
      <c r="F41" s="47"/>
      <c r="G41" s="47"/>
      <c r="H41" s="47"/>
      <c r="I41" s="47"/>
    </row>
    <row r="42" customFormat="false" ht="15.75" hidden="false" customHeight="false" outlineLevel="0" collapsed="false">
      <c r="A42" s="62" t="n">
        <v>2</v>
      </c>
      <c r="B42" s="63" t="s">
        <v>46</v>
      </c>
      <c r="C42" s="63"/>
      <c r="D42" s="63"/>
      <c r="E42" s="63"/>
      <c r="F42" s="63"/>
      <c r="G42" s="63"/>
      <c r="H42" s="63"/>
      <c r="I42" s="272" t="s">
        <v>35</v>
      </c>
    </row>
    <row r="43" customFormat="false" ht="15.75" hidden="false" customHeight="true" outlineLevel="0" collapsed="false">
      <c r="A43" s="64" t="s">
        <v>8</v>
      </c>
      <c r="B43" s="54" t="s">
        <v>206</v>
      </c>
      <c r="C43" s="54"/>
      <c r="D43" s="54"/>
      <c r="E43" s="54"/>
      <c r="F43" s="54"/>
      <c r="G43" s="54"/>
      <c r="H43" s="54"/>
      <c r="I43" s="279" t="n">
        <f aca="false">ROUND((2*H45*H44*21)-(0.06*I37),2)</f>
        <v>153.61</v>
      </c>
      <c r="L43" s="66"/>
    </row>
    <row r="44" customFormat="false" ht="32.25" hidden="false" customHeight="true" outlineLevel="0" collapsed="false">
      <c r="A44" s="64"/>
      <c r="B44" s="277" t="s">
        <v>283</v>
      </c>
      <c r="C44" s="277"/>
      <c r="D44" s="277"/>
      <c r="E44" s="277"/>
      <c r="F44" s="277"/>
      <c r="G44" s="277"/>
      <c r="H44" s="278" t="n">
        <f aca="false">Dados!B17</f>
        <v>3.1</v>
      </c>
      <c r="I44" s="279"/>
    </row>
    <row r="45" customFormat="false" ht="15.75" hidden="false" customHeight="false" outlineLevel="0" collapsed="false">
      <c r="A45" s="64"/>
      <c r="B45" s="69" t="s">
        <v>49</v>
      </c>
      <c r="C45" s="69"/>
      <c r="D45" s="69"/>
      <c r="E45" s="69"/>
      <c r="F45" s="69"/>
      <c r="G45" s="69"/>
      <c r="H45" s="70" t="n">
        <v>2</v>
      </c>
      <c r="I45" s="279"/>
    </row>
    <row r="46" customFormat="false" ht="15.75" hidden="false" customHeight="true" outlineLevel="0" collapsed="false">
      <c r="A46" s="64" t="s">
        <v>10</v>
      </c>
      <c r="B46" s="54" t="s">
        <v>50</v>
      </c>
      <c r="C46" s="54"/>
      <c r="D46" s="54"/>
      <c r="E46" s="54"/>
      <c r="F46" s="54"/>
      <c r="G46" s="54"/>
      <c r="H46" s="54"/>
      <c r="I46" s="279" t="n">
        <f aca="false">ROUND((2*21*H47)*(1-0.18),2)</f>
        <v>287.92</v>
      </c>
    </row>
    <row r="47" customFormat="false" ht="15.75" hidden="false" customHeight="false" outlineLevel="0" collapsed="false">
      <c r="A47" s="64"/>
      <c r="B47" s="69" t="s">
        <v>51</v>
      </c>
      <c r="C47" s="69"/>
      <c r="D47" s="69"/>
      <c r="E47" s="69"/>
      <c r="F47" s="69"/>
      <c r="G47" s="69"/>
      <c r="H47" s="280" t="n">
        <f aca="false">Dados!B4</f>
        <v>8.36</v>
      </c>
      <c r="I47" s="281"/>
    </row>
    <row r="48" customFormat="false" ht="31.5" hidden="false" customHeight="true" outlineLevel="0" collapsed="false">
      <c r="A48" s="17" t="s">
        <v>12</v>
      </c>
      <c r="B48" s="58" t="s">
        <v>284</v>
      </c>
      <c r="C48" s="58"/>
      <c r="D48" s="58"/>
      <c r="E48" s="58"/>
      <c r="F48" s="58"/>
      <c r="G48" s="58"/>
      <c r="H48" s="58"/>
      <c r="I48" s="279" t="n">
        <f aca="false">ROUND(Dados!B5*2,2)</f>
        <v>30.04</v>
      </c>
    </row>
    <row r="49" customFormat="false" ht="15.75" hidden="false" customHeight="false" outlineLevel="0" collapsed="false">
      <c r="A49" s="60" t="s">
        <v>53</v>
      </c>
      <c r="B49" s="60"/>
      <c r="C49" s="60"/>
      <c r="D49" s="60"/>
      <c r="E49" s="60"/>
      <c r="F49" s="60"/>
      <c r="G49" s="60"/>
      <c r="H49" s="60"/>
      <c r="I49" s="275" t="n">
        <f aca="false">SUM(I43:I48)</f>
        <v>471.57</v>
      </c>
    </row>
    <row r="50" customFormat="false" ht="15.75" hidden="false" customHeight="false" outlineLevel="0" collapsed="false">
      <c r="A50" s="73" t="s">
        <v>54</v>
      </c>
      <c r="B50" s="73"/>
      <c r="C50" s="73"/>
      <c r="D50" s="73"/>
      <c r="E50" s="73"/>
      <c r="F50" s="73"/>
      <c r="G50" s="73"/>
      <c r="H50" s="73"/>
      <c r="I50" s="73"/>
    </row>
    <row r="51" customFormat="false" ht="15.75" hidden="false" customHeight="false" outlineLevel="0" collapsed="false">
      <c r="A51" s="47" t="s">
        <v>55</v>
      </c>
      <c r="B51" s="47"/>
      <c r="C51" s="47"/>
      <c r="D51" s="47"/>
      <c r="E51" s="47"/>
      <c r="F51" s="47"/>
      <c r="G51" s="47"/>
      <c r="H51" s="47"/>
      <c r="I51" s="47"/>
    </row>
    <row r="52" customFormat="false" ht="15.75" hidden="false" customHeight="false" outlineLevel="0" collapsed="false">
      <c r="A52" s="62" t="n">
        <v>3</v>
      </c>
      <c r="B52" s="63" t="s">
        <v>56</v>
      </c>
      <c r="C52" s="63"/>
      <c r="D52" s="63"/>
      <c r="E52" s="63"/>
      <c r="F52" s="63"/>
      <c r="G52" s="63"/>
      <c r="H52" s="63"/>
      <c r="I52" s="272" t="s">
        <v>35</v>
      </c>
    </row>
    <row r="53" customFormat="false" ht="15.75" hidden="false" customHeight="false" outlineLevel="0" collapsed="false">
      <c r="A53" s="64" t="s">
        <v>8</v>
      </c>
      <c r="B53" s="74" t="s">
        <v>233</v>
      </c>
      <c r="C53" s="74"/>
      <c r="D53" s="74"/>
      <c r="E53" s="74"/>
      <c r="F53" s="74"/>
      <c r="G53" s="74"/>
      <c r="H53" s="74"/>
      <c r="I53" s="282" t="n">
        <f aca="false">Dados!D6*2</f>
        <v>137.67625</v>
      </c>
      <c r="J53" s="76"/>
      <c r="K53" s="77"/>
    </row>
    <row r="54" customFormat="false" ht="15.75" hidden="false" customHeight="false" outlineLevel="0" collapsed="false">
      <c r="A54" s="60" t="s">
        <v>58</v>
      </c>
      <c r="B54" s="60"/>
      <c r="C54" s="60"/>
      <c r="D54" s="60"/>
      <c r="E54" s="60"/>
      <c r="F54" s="60"/>
      <c r="G54" s="60"/>
      <c r="H54" s="60"/>
      <c r="I54" s="283" t="n">
        <f aca="false">SUM(I53:I53)</f>
        <v>137.67625</v>
      </c>
    </row>
    <row r="55" customFormat="false" ht="15.75" hidden="false" customHeight="false" outlineLevel="0" collapsed="false">
      <c r="A55" s="47" t="s">
        <v>59</v>
      </c>
      <c r="B55" s="47"/>
      <c r="C55" s="47"/>
      <c r="D55" s="47"/>
      <c r="E55" s="47"/>
      <c r="F55" s="47"/>
      <c r="G55" s="47"/>
      <c r="H55" s="47"/>
      <c r="I55" s="47"/>
    </row>
    <row r="56" customFormat="false" ht="15.75" hidden="false" customHeight="false" outlineLevel="0" collapsed="false">
      <c r="A56" s="79" t="s">
        <v>60</v>
      </c>
      <c r="B56" s="79"/>
      <c r="C56" s="79"/>
      <c r="D56" s="79"/>
      <c r="E56" s="79"/>
      <c r="F56" s="79"/>
      <c r="G56" s="79"/>
      <c r="H56" s="79"/>
      <c r="I56" s="79"/>
    </row>
    <row r="57" customFormat="false" ht="15.75" hidden="false" customHeight="false" outlineLevel="0" collapsed="false">
      <c r="A57" s="62" t="s">
        <v>61</v>
      </c>
      <c r="B57" s="80" t="s">
        <v>62</v>
      </c>
      <c r="C57" s="80"/>
      <c r="D57" s="80"/>
      <c r="E57" s="80"/>
      <c r="F57" s="80"/>
      <c r="G57" s="80"/>
      <c r="H57" s="81" t="s">
        <v>63</v>
      </c>
      <c r="I57" s="272" t="s">
        <v>35</v>
      </c>
    </row>
    <row r="58" customFormat="false" ht="15.75" hidden="false" customHeight="false" outlineLevel="0" collapsed="false">
      <c r="A58" s="82" t="s">
        <v>8</v>
      </c>
      <c r="B58" s="83" t="s">
        <v>64</v>
      </c>
      <c r="C58" s="83"/>
      <c r="D58" s="83"/>
      <c r="E58" s="83"/>
      <c r="F58" s="83"/>
      <c r="G58" s="83"/>
      <c r="H58" s="84" t="n">
        <v>0.2</v>
      </c>
      <c r="I58" s="273" t="n">
        <f aca="false">ROUND(($I$40-$I$38)*H58,2)</f>
        <v>359.69</v>
      </c>
      <c r="K58" s="66"/>
    </row>
    <row r="59" customFormat="false" ht="15.75" hidden="false" customHeight="false" outlineLevel="0" collapsed="false">
      <c r="A59" s="82" t="s">
        <v>10</v>
      </c>
      <c r="B59" s="83" t="s">
        <v>65</v>
      </c>
      <c r="C59" s="83"/>
      <c r="D59" s="83"/>
      <c r="E59" s="83"/>
      <c r="F59" s="83"/>
      <c r="G59" s="83"/>
      <c r="H59" s="85" t="n">
        <v>0.015</v>
      </c>
      <c r="I59" s="273" t="n">
        <f aca="false">ROUND(($I$40-$I$38)*H59,2)</f>
        <v>26.98</v>
      </c>
      <c r="K59" s="66"/>
    </row>
    <row r="60" customFormat="false" ht="15.75" hidden="false" customHeight="false" outlineLevel="0" collapsed="false">
      <c r="A60" s="82" t="s">
        <v>12</v>
      </c>
      <c r="B60" s="83" t="s">
        <v>66</v>
      </c>
      <c r="C60" s="83"/>
      <c r="D60" s="83"/>
      <c r="E60" s="83"/>
      <c r="F60" s="83"/>
      <c r="G60" s="83"/>
      <c r="H60" s="84" t="n">
        <v>0.01</v>
      </c>
      <c r="I60" s="273" t="n">
        <f aca="false">ROUND(($I$40-$I$38)*H60,2)</f>
        <v>17.98</v>
      </c>
      <c r="K60" s="66"/>
    </row>
    <row r="61" customFormat="false" ht="15.75" hidden="false" customHeight="false" outlineLevel="0" collapsed="false">
      <c r="A61" s="82" t="s">
        <v>14</v>
      </c>
      <c r="B61" s="83" t="s">
        <v>67</v>
      </c>
      <c r="C61" s="83"/>
      <c r="D61" s="83"/>
      <c r="E61" s="83"/>
      <c r="F61" s="83"/>
      <c r="G61" s="83"/>
      <c r="H61" s="86" t="n">
        <v>0.002</v>
      </c>
      <c r="I61" s="273" t="n">
        <f aca="false">ROUND(($I$40-$I$38)*H61,2)</f>
        <v>3.6</v>
      </c>
      <c r="K61" s="66"/>
    </row>
    <row r="62" customFormat="false" ht="15.75" hidden="false" customHeight="false" outlineLevel="0" collapsed="false">
      <c r="A62" s="82" t="s">
        <v>40</v>
      </c>
      <c r="B62" s="83" t="s">
        <v>68</v>
      </c>
      <c r="C62" s="83"/>
      <c r="D62" s="83"/>
      <c r="E62" s="83"/>
      <c r="F62" s="83"/>
      <c r="G62" s="83"/>
      <c r="H62" s="86" t="n">
        <v>0.025</v>
      </c>
      <c r="I62" s="273" t="n">
        <f aca="false">ROUND(($I$40-$I$38)*H62,2)</f>
        <v>44.96</v>
      </c>
      <c r="K62" s="66"/>
    </row>
    <row r="63" customFormat="false" ht="15.75" hidden="false" customHeight="false" outlineLevel="0" collapsed="false">
      <c r="A63" s="82" t="s">
        <v>42</v>
      </c>
      <c r="B63" s="83" t="s">
        <v>69</v>
      </c>
      <c r="C63" s="83"/>
      <c r="D63" s="83"/>
      <c r="E63" s="83"/>
      <c r="F63" s="83"/>
      <c r="G63" s="83"/>
      <c r="H63" s="84" t="n">
        <v>0.08</v>
      </c>
      <c r="I63" s="273" t="n">
        <f aca="false">ROUND(($I$40-$I$38)*H63,2)</f>
        <v>143.88</v>
      </c>
      <c r="K63" s="66"/>
    </row>
    <row r="64" customFormat="false" ht="15.75" hidden="false" customHeight="false" outlineLevel="0" collapsed="false">
      <c r="A64" s="82" t="s">
        <v>70</v>
      </c>
      <c r="B64" s="87" t="s">
        <v>71</v>
      </c>
      <c r="C64" s="87"/>
      <c r="D64" s="87"/>
      <c r="E64" s="87"/>
      <c r="F64" s="88" t="s">
        <v>72</v>
      </c>
      <c r="G64" s="89" t="s">
        <v>196</v>
      </c>
      <c r="H64" s="86" t="n">
        <v>0.015</v>
      </c>
      <c r="I64" s="273" t="n">
        <f aca="false">ROUND(($I$40-$I$38)*H64,2)</f>
        <v>26.98</v>
      </c>
      <c r="K64" s="66"/>
    </row>
    <row r="65" customFormat="false" ht="15.75" hidden="false" customHeight="false" outlineLevel="0" collapsed="false">
      <c r="A65" s="82" t="s">
        <v>74</v>
      </c>
      <c r="B65" s="83" t="s">
        <v>75</v>
      </c>
      <c r="C65" s="83"/>
      <c r="D65" s="83"/>
      <c r="E65" s="83"/>
      <c r="F65" s="83"/>
      <c r="G65" s="83"/>
      <c r="H65" s="86" t="n">
        <v>0.006</v>
      </c>
      <c r="I65" s="273" t="n">
        <f aca="false">ROUND(($I$40-$I$38)*H65,2)</f>
        <v>10.79</v>
      </c>
      <c r="K65" s="66"/>
    </row>
    <row r="66" customFormat="false" ht="15.75" hidden="false" customHeight="false" outlineLevel="0" collapsed="false">
      <c r="A66" s="90" t="s">
        <v>76</v>
      </c>
      <c r="B66" s="90"/>
      <c r="C66" s="90"/>
      <c r="D66" s="90"/>
      <c r="E66" s="90"/>
      <c r="F66" s="90"/>
      <c r="G66" s="90"/>
      <c r="H66" s="91" t="n">
        <f aca="false">SUM(H58:H65)</f>
        <v>0.353</v>
      </c>
      <c r="I66" s="284" t="n">
        <f aca="false">SUM(I58:I65)</f>
        <v>634.86</v>
      </c>
      <c r="K66" s="66"/>
    </row>
    <row r="67" customFormat="false" ht="15.75" hidden="false" customHeight="false" outlineLevel="0" collapsed="false">
      <c r="A67" s="93" t="s">
        <v>77</v>
      </c>
      <c r="B67" s="93"/>
      <c r="C67" s="93"/>
      <c r="D67" s="93"/>
      <c r="E67" s="93"/>
      <c r="F67" s="93"/>
      <c r="G67" s="93"/>
      <c r="H67" s="93"/>
      <c r="I67" s="93"/>
    </row>
    <row r="68" customFormat="false" ht="15.75" hidden="false" customHeight="false" outlineLevel="0" collapsed="false">
      <c r="A68" s="94" t="s">
        <v>78</v>
      </c>
      <c r="B68" s="94"/>
      <c r="C68" s="94"/>
      <c r="D68" s="94"/>
      <c r="E68" s="94"/>
      <c r="F68" s="94"/>
      <c r="G68" s="94"/>
      <c r="H68" s="94"/>
      <c r="I68" s="94"/>
    </row>
    <row r="69" customFormat="false" ht="15.75" hidden="false" customHeight="false" outlineLevel="0" collapsed="false">
      <c r="A69" s="79" t="s">
        <v>79</v>
      </c>
      <c r="B69" s="79"/>
      <c r="C69" s="79"/>
      <c r="D69" s="79"/>
      <c r="E69" s="79"/>
      <c r="F69" s="79"/>
      <c r="G69" s="79"/>
      <c r="H69" s="79"/>
      <c r="I69" s="79"/>
    </row>
    <row r="70" customFormat="false" ht="15.75" hidden="false" customHeight="false" outlineLevel="0" collapsed="false">
      <c r="A70" s="62" t="s">
        <v>80</v>
      </c>
      <c r="B70" s="81" t="s">
        <v>81</v>
      </c>
      <c r="C70" s="81"/>
      <c r="D70" s="81"/>
      <c r="E70" s="81"/>
      <c r="F70" s="81"/>
      <c r="G70" s="81"/>
      <c r="H70" s="81"/>
      <c r="I70" s="272" t="s">
        <v>35</v>
      </c>
    </row>
    <row r="71" customFormat="false" ht="33.75" hidden="false" customHeight="true" outlineLevel="0" collapsed="false">
      <c r="A71" s="17" t="s">
        <v>8</v>
      </c>
      <c r="B71" s="95" t="s">
        <v>82</v>
      </c>
      <c r="C71" s="95"/>
      <c r="D71" s="95"/>
      <c r="E71" s="95"/>
      <c r="F71" s="95"/>
      <c r="G71" s="95"/>
      <c r="H71" s="95"/>
      <c r="I71" s="285" t="n">
        <f aca="false">ROUND(I40/12,2)</f>
        <v>157.66</v>
      </c>
      <c r="K71" s="66"/>
    </row>
    <row r="72" customFormat="false" ht="15.75" hidden="false" customHeight="false" outlineLevel="0" collapsed="false">
      <c r="A72" s="97" t="s">
        <v>83</v>
      </c>
      <c r="B72" s="97"/>
      <c r="C72" s="97"/>
      <c r="D72" s="97"/>
      <c r="E72" s="97"/>
      <c r="F72" s="97"/>
      <c r="G72" s="97"/>
      <c r="H72" s="97"/>
      <c r="I72" s="273" t="n">
        <f aca="false">SUM(I71:I71)</f>
        <v>157.66</v>
      </c>
      <c r="K72" s="66"/>
    </row>
    <row r="73" customFormat="false" ht="15.75" hidden="false" customHeight="false" outlineLevel="0" collapsed="false">
      <c r="A73" s="17" t="s">
        <v>10</v>
      </c>
      <c r="B73" s="83" t="s">
        <v>84</v>
      </c>
      <c r="C73" s="83"/>
      <c r="D73" s="83"/>
      <c r="E73" s="83"/>
      <c r="F73" s="83"/>
      <c r="G73" s="83"/>
      <c r="H73" s="83"/>
      <c r="I73" s="273" t="n">
        <f aca="false">ROUND(I72*H66,2)</f>
        <v>55.65</v>
      </c>
      <c r="K73" s="66"/>
    </row>
    <row r="74" customFormat="false" ht="15.75" hidden="false" customHeight="false" outlineLevel="0" collapsed="false">
      <c r="A74" s="60" t="s">
        <v>76</v>
      </c>
      <c r="B74" s="60"/>
      <c r="C74" s="60"/>
      <c r="D74" s="60"/>
      <c r="E74" s="60"/>
      <c r="F74" s="60"/>
      <c r="G74" s="60"/>
      <c r="H74" s="60"/>
      <c r="I74" s="275" t="n">
        <f aca="false">SUM(I72:I73)</f>
        <v>213.31</v>
      </c>
      <c r="K74" s="66"/>
    </row>
    <row r="75" customFormat="false" ht="15.75" hidden="false" customHeight="false" outlineLevel="0" collapsed="false">
      <c r="A75" s="79" t="s">
        <v>85</v>
      </c>
      <c r="B75" s="79"/>
      <c r="C75" s="79"/>
      <c r="D75" s="79"/>
      <c r="E75" s="79"/>
      <c r="F75" s="79"/>
      <c r="G75" s="79"/>
      <c r="H75" s="79"/>
      <c r="I75" s="79"/>
    </row>
    <row r="76" customFormat="false" ht="15.75" hidden="false" customHeight="false" outlineLevel="0" collapsed="false">
      <c r="A76" s="62" t="s">
        <v>86</v>
      </c>
      <c r="B76" s="81" t="s">
        <v>87</v>
      </c>
      <c r="C76" s="81"/>
      <c r="D76" s="81"/>
      <c r="E76" s="81"/>
      <c r="F76" s="81"/>
      <c r="G76" s="81"/>
      <c r="H76" s="81"/>
      <c r="I76" s="272" t="s">
        <v>35</v>
      </c>
    </row>
    <row r="77" customFormat="false" ht="15.75" hidden="false" customHeight="false" outlineLevel="0" collapsed="false">
      <c r="A77" s="17" t="s">
        <v>8</v>
      </c>
      <c r="B77" s="52" t="s">
        <v>88</v>
      </c>
      <c r="C77" s="52"/>
      <c r="D77" s="52"/>
      <c r="E77" s="52"/>
      <c r="F77" s="52"/>
      <c r="G77" s="52"/>
      <c r="H77" s="52"/>
      <c r="I77" s="282" t="n">
        <f aca="false">ROUND((((I40+I40/3)*(4/12))/12)*0.02,2)</f>
        <v>1.4</v>
      </c>
    </row>
    <row r="78" customFormat="false" ht="15.75" hidden="false" customHeight="false" outlineLevel="0" collapsed="false">
      <c r="A78" s="17" t="s">
        <v>10</v>
      </c>
      <c r="B78" s="83" t="s">
        <v>89</v>
      </c>
      <c r="C78" s="83"/>
      <c r="D78" s="83"/>
      <c r="E78" s="83"/>
      <c r="F78" s="83"/>
      <c r="G78" s="83"/>
      <c r="H78" s="83"/>
      <c r="I78" s="282" t="n">
        <f aca="false">I77*H66</f>
        <v>0.4942</v>
      </c>
    </row>
    <row r="79" customFormat="false" ht="15.75" hidden="false" customHeight="false" outlineLevel="0" collapsed="false">
      <c r="A79" s="60" t="s">
        <v>76</v>
      </c>
      <c r="B79" s="60"/>
      <c r="C79" s="60"/>
      <c r="D79" s="60"/>
      <c r="E79" s="60"/>
      <c r="F79" s="60"/>
      <c r="G79" s="60"/>
      <c r="H79" s="60"/>
      <c r="I79" s="275" t="n">
        <f aca="false">SUM(I77:I78)</f>
        <v>1.8942</v>
      </c>
    </row>
    <row r="80" customFormat="false" ht="15.75" hidden="false" customHeight="false" outlineLevel="0" collapsed="false">
      <c r="A80" s="79" t="s">
        <v>90</v>
      </c>
      <c r="B80" s="79"/>
      <c r="C80" s="79"/>
      <c r="D80" s="79"/>
      <c r="E80" s="79"/>
      <c r="F80" s="79"/>
      <c r="G80" s="79"/>
      <c r="H80" s="79"/>
      <c r="I80" s="79"/>
    </row>
    <row r="81" customFormat="false" ht="15.75" hidden="false" customHeight="false" outlineLevel="0" collapsed="false">
      <c r="A81" s="62" t="s">
        <v>91</v>
      </c>
      <c r="B81" s="81" t="s">
        <v>92</v>
      </c>
      <c r="C81" s="81"/>
      <c r="D81" s="81"/>
      <c r="E81" s="81"/>
      <c r="F81" s="81"/>
      <c r="G81" s="81"/>
      <c r="H81" s="81"/>
      <c r="I81" s="272" t="s">
        <v>35</v>
      </c>
    </row>
    <row r="82" customFormat="false" ht="15.75" hidden="false" customHeight="true" outlineLevel="0" collapsed="false">
      <c r="A82" s="17" t="s">
        <v>8</v>
      </c>
      <c r="B82" s="99" t="s">
        <v>93</v>
      </c>
      <c r="C82" s="99"/>
      <c r="D82" s="99"/>
      <c r="E82" s="99"/>
      <c r="F82" s="99"/>
      <c r="G82" s="99"/>
      <c r="H82" s="99"/>
      <c r="I82" s="273" t="n">
        <f aca="false">ROUND((I40/12)*(30/30)*0.05,2)</f>
        <v>7.88</v>
      </c>
    </row>
    <row r="83" customFormat="false" ht="15.75" hidden="false" customHeight="true" outlineLevel="0" collapsed="false">
      <c r="A83" s="17" t="s">
        <v>10</v>
      </c>
      <c r="B83" s="83" t="s">
        <v>94</v>
      </c>
      <c r="C83" s="83"/>
      <c r="D83" s="83"/>
      <c r="E83" s="83"/>
      <c r="F83" s="83"/>
      <c r="G83" s="83"/>
      <c r="H83" s="83"/>
      <c r="I83" s="273" t="n">
        <f aca="false">ROUND(I82*H63,2)</f>
        <v>0.63</v>
      </c>
    </row>
    <row r="84" customFormat="false" ht="49.5" hidden="false" customHeight="true" outlineLevel="0" collapsed="false">
      <c r="A84" s="17" t="s">
        <v>12</v>
      </c>
      <c r="B84" s="95" t="s">
        <v>95</v>
      </c>
      <c r="C84" s="95"/>
      <c r="D84" s="95"/>
      <c r="E84" s="95"/>
      <c r="F84" s="95"/>
      <c r="G84" s="95"/>
      <c r="H84" s="95"/>
      <c r="I84" s="285" t="n">
        <f aca="false">ROUND(0.0024*I40,2)</f>
        <v>4.54</v>
      </c>
      <c r="K84" s="66"/>
    </row>
    <row r="85" customFormat="false" ht="30.75" hidden="false" customHeight="true" outlineLevel="0" collapsed="false">
      <c r="A85" s="100" t="s">
        <v>14</v>
      </c>
      <c r="B85" s="99" t="s">
        <v>96</v>
      </c>
      <c r="C85" s="99"/>
      <c r="D85" s="99"/>
      <c r="E85" s="99"/>
      <c r="F85" s="99"/>
      <c r="G85" s="99"/>
      <c r="H85" s="99"/>
      <c r="I85" s="273" t="n">
        <v>0</v>
      </c>
      <c r="N85" s="101"/>
    </row>
    <row r="86" customFormat="false" ht="18" hidden="false" customHeight="true" outlineLevel="0" collapsed="false">
      <c r="A86" s="17" t="s">
        <v>40</v>
      </c>
      <c r="B86" s="83" t="s">
        <v>97</v>
      </c>
      <c r="C86" s="83"/>
      <c r="D86" s="83"/>
      <c r="E86" s="83"/>
      <c r="F86" s="83"/>
      <c r="G86" s="83"/>
      <c r="H86" s="83"/>
      <c r="I86" s="273" t="n">
        <f aca="false">ROUND(I85*H66,2)</f>
        <v>0</v>
      </c>
      <c r="J86" s="13"/>
      <c r="K86" s="13"/>
      <c r="L86" s="102"/>
    </row>
    <row r="87" customFormat="false" ht="48.75" hidden="false" customHeight="true" outlineLevel="0" collapsed="false">
      <c r="A87" s="17" t="s">
        <v>42</v>
      </c>
      <c r="B87" s="95" t="s">
        <v>98</v>
      </c>
      <c r="C87" s="95"/>
      <c r="D87" s="95"/>
      <c r="E87" s="95"/>
      <c r="F87" s="95"/>
      <c r="G87" s="95"/>
      <c r="H87" s="95"/>
      <c r="I87" s="285" t="n">
        <f aca="false">ROUND(0.0476*I40,2)</f>
        <v>90.05</v>
      </c>
      <c r="J87" s="13"/>
      <c r="K87" s="66"/>
      <c r="L87" s="13"/>
    </row>
    <row r="88" customFormat="false" ht="20.25" hidden="false" customHeight="true" outlineLevel="0" collapsed="false">
      <c r="A88" s="60" t="s">
        <v>76</v>
      </c>
      <c r="B88" s="60"/>
      <c r="C88" s="60"/>
      <c r="D88" s="60"/>
      <c r="E88" s="60"/>
      <c r="F88" s="60"/>
      <c r="G88" s="60"/>
      <c r="H88" s="60"/>
      <c r="I88" s="275" t="n">
        <f aca="false">SUM(I82:I87)</f>
        <v>103.1</v>
      </c>
    </row>
    <row r="89" customFormat="false" ht="20.25" hidden="false" customHeight="true" outlineLevel="0" collapsed="false">
      <c r="A89" s="79" t="s">
        <v>99</v>
      </c>
      <c r="B89" s="79"/>
      <c r="C89" s="79"/>
      <c r="D89" s="79"/>
      <c r="E89" s="79"/>
      <c r="F89" s="79"/>
      <c r="G89" s="79"/>
      <c r="H89" s="79"/>
      <c r="I89" s="79"/>
    </row>
    <row r="90" customFormat="false" ht="15.75" hidden="false" customHeight="false" outlineLevel="0" collapsed="false">
      <c r="A90" s="62" t="s">
        <v>100</v>
      </c>
      <c r="B90" s="81" t="s">
        <v>101</v>
      </c>
      <c r="C90" s="81"/>
      <c r="D90" s="81"/>
      <c r="E90" s="81"/>
      <c r="F90" s="81"/>
      <c r="G90" s="81"/>
      <c r="H90" s="81"/>
      <c r="I90" s="272" t="s">
        <v>35</v>
      </c>
    </row>
    <row r="91" customFormat="false" ht="49.5" hidden="false" customHeight="true" outlineLevel="0" collapsed="false">
      <c r="A91" s="17" t="s">
        <v>8</v>
      </c>
      <c r="B91" s="95" t="s">
        <v>102</v>
      </c>
      <c r="C91" s="95"/>
      <c r="D91" s="95"/>
      <c r="E91" s="95"/>
      <c r="F91" s="95"/>
      <c r="G91" s="95"/>
      <c r="H91" s="95"/>
      <c r="I91" s="285" t="n">
        <f aca="false">ROUND(0.121*I40,2)</f>
        <v>228.92</v>
      </c>
      <c r="K91" s="66"/>
    </row>
    <row r="92" customFormat="false" ht="17.25" hidden="false" customHeight="true" outlineLevel="0" collapsed="false">
      <c r="A92" s="17" t="s">
        <v>10</v>
      </c>
      <c r="B92" s="52" t="s">
        <v>103</v>
      </c>
      <c r="C92" s="52"/>
      <c r="D92" s="52"/>
      <c r="E92" s="52"/>
      <c r="F92" s="52"/>
      <c r="G92" s="52"/>
      <c r="H92" s="52"/>
      <c r="I92" s="273" t="n">
        <f aca="false">ROUND(((I40/30)*5)/12,2)</f>
        <v>26.28</v>
      </c>
    </row>
    <row r="93" customFormat="false" ht="16.5" hidden="false" customHeight="true" outlineLevel="0" collapsed="false">
      <c r="A93" s="17" t="s">
        <v>12</v>
      </c>
      <c r="B93" s="52" t="s">
        <v>104</v>
      </c>
      <c r="C93" s="52"/>
      <c r="D93" s="52"/>
      <c r="E93" s="52"/>
      <c r="F93" s="52"/>
      <c r="G93" s="52"/>
      <c r="H93" s="52"/>
      <c r="I93" s="273" t="n">
        <f aca="false">ROUND((((I40/30)*5)/12)*0.015,2)</f>
        <v>0.39</v>
      </c>
    </row>
    <row r="94" customFormat="false" ht="17.25" hidden="false" customHeight="true" outlineLevel="0" collapsed="false">
      <c r="A94" s="17" t="s">
        <v>14</v>
      </c>
      <c r="B94" s="52" t="s">
        <v>105</v>
      </c>
      <c r="C94" s="52"/>
      <c r="D94" s="52"/>
      <c r="E94" s="52"/>
      <c r="F94" s="52"/>
      <c r="G94" s="52"/>
      <c r="H94" s="52"/>
      <c r="I94" s="273" t="n">
        <f aca="false">ROUND(((I40/30)*2.96)/12,2)</f>
        <v>15.56</v>
      </c>
    </row>
    <row r="95" customFormat="false" ht="16.5" hidden="false" customHeight="true" outlineLevel="0" collapsed="false">
      <c r="A95" s="17" t="s">
        <v>40</v>
      </c>
      <c r="B95" s="52" t="s">
        <v>106</v>
      </c>
      <c r="C95" s="52"/>
      <c r="D95" s="52"/>
      <c r="E95" s="52"/>
      <c r="F95" s="52"/>
      <c r="G95" s="52"/>
      <c r="H95" s="52"/>
      <c r="I95" s="273" t="n">
        <f aca="false">ROUND((((I40/30)*15)/12)*0.0078,2)</f>
        <v>0.61</v>
      </c>
    </row>
    <row r="96" customFormat="false" ht="15.75" hidden="false" customHeight="false" outlineLevel="0" collapsed="false">
      <c r="A96" s="97" t="s">
        <v>83</v>
      </c>
      <c r="B96" s="97"/>
      <c r="C96" s="97"/>
      <c r="D96" s="97"/>
      <c r="E96" s="97"/>
      <c r="F96" s="97"/>
      <c r="G96" s="97"/>
      <c r="H96" s="97"/>
      <c r="I96" s="281" t="n">
        <f aca="false">SUM(I91:I95)</f>
        <v>271.76</v>
      </c>
      <c r="K96" s="66"/>
    </row>
    <row r="97" customFormat="false" ht="18" hidden="false" customHeight="true" outlineLevel="0" collapsed="false">
      <c r="A97" s="17" t="s">
        <v>70</v>
      </c>
      <c r="B97" s="83" t="s">
        <v>107</v>
      </c>
      <c r="C97" s="83"/>
      <c r="D97" s="83"/>
      <c r="E97" s="83"/>
      <c r="F97" s="83"/>
      <c r="G97" s="83"/>
      <c r="H97" s="83"/>
      <c r="I97" s="286" t="n">
        <f aca="false">ROUND(I96*H66,2)</f>
        <v>95.93</v>
      </c>
      <c r="K97" s="66"/>
    </row>
    <row r="98" customFormat="false" ht="18.75" hidden="false" customHeight="true" outlineLevel="0" collapsed="false">
      <c r="A98" s="60" t="s">
        <v>76</v>
      </c>
      <c r="B98" s="60"/>
      <c r="C98" s="60"/>
      <c r="D98" s="60"/>
      <c r="E98" s="60"/>
      <c r="F98" s="60"/>
      <c r="G98" s="60"/>
      <c r="H98" s="60"/>
      <c r="I98" s="275" t="n">
        <f aca="false">SUM(I96+I97)</f>
        <v>367.69</v>
      </c>
      <c r="K98" s="66"/>
    </row>
    <row r="99" customFormat="false" ht="15.75" hidden="false" customHeight="false" outlineLevel="0" collapsed="false">
      <c r="A99" s="104" t="s">
        <v>108</v>
      </c>
      <c r="B99" s="104"/>
      <c r="C99" s="104"/>
      <c r="D99" s="104"/>
      <c r="E99" s="104"/>
      <c r="F99" s="104"/>
      <c r="G99" s="104"/>
      <c r="H99" s="104"/>
      <c r="I99" s="104"/>
    </row>
    <row r="100" customFormat="false" ht="15.75" hidden="false" customHeight="false" outlineLevel="0" collapsed="false">
      <c r="A100" s="62" t="n">
        <v>4</v>
      </c>
      <c r="B100" s="81" t="s">
        <v>109</v>
      </c>
      <c r="C100" s="81"/>
      <c r="D100" s="81"/>
      <c r="E100" s="81"/>
      <c r="F100" s="81"/>
      <c r="G100" s="81"/>
      <c r="H100" s="81"/>
      <c r="I100" s="272" t="s">
        <v>35</v>
      </c>
    </row>
    <row r="101" customFormat="false" ht="15.75" hidden="false" customHeight="false" outlineLevel="0" collapsed="false">
      <c r="A101" s="17" t="s">
        <v>61</v>
      </c>
      <c r="B101" s="83" t="s">
        <v>62</v>
      </c>
      <c r="C101" s="83"/>
      <c r="D101" s="83"/>
      <c r="E101" s="83"/>
      <c r="F101" s="83"/>
      <c r="G101" s="83"/>
      <c r="H101" s="83"/>
      <c r="I101" s="282" t="n">
        <f aca="false">I66</f>
        <v>634.86</v>
      </c>
    </row>
    <row r="102" customFormat="false" ht="15.75" hidden="false" customHeight="false" outlineLevel="0" collapsed="false">
      <c r="A102" s="17" t="s">
        <v>80</v>
      </c>
      <c r="B102" s="83" t="s">
        <v>110</v>
      </c>
      <c r="C102" s="83"/>
      <c r="D102" s="83"/>
      <c r="E102" s="83"/>
      <c r="F102" s="83"/>
      <c r="G102" s="83"/>
      <c r="H102" s="83"/>
      <c r="I102" s="282" t="n">
        <f aca="false">I74</f>
        <v>213.31</v>
      </c>
    </row>
    <row r="103" customFormat="false" ht="15.75" hidden="false" customHeight="false" outlineLevel="0" collapsed="false">
      <c r="A103" s="17" t="s">
        <v>86</v>
      </c>
      <c r="B103" s="83" t="s">
        <v>87</v>
      </c>
      <c r="C103" s="83"/>
      <c r="D103" s="83"/>
      <c r="E103" s="83"/>
      <c r="F103" s="83"/>
      <c r="G103" s="83"/>
      <c r="H103" s="83"/>
      <c r="I103" s="282" t="n">
        <f aca="false">I79</f>
        <v>1.8942</v>
      </c>
    </row>
    <row r="104" customFormat="false" ht="15.75" hidden="false" customHeight="false" outlineLevel="0" collapsed="false">
      <c r="A104" s="17" t="s">
        <v>91</v>
      </c>
      <c r="B104" s="83" t="s">
        <v>111</v>
      </c>
      <c r="C104" s="83"/>
      <c r="D104" s="83"/>
      <c r="E104" s="83"/>
      <c r="F104" s="83"/>
      <c r="G104" s="83"/>
      <c r="H104" s="83"/>
      <c r="I104" s="282" t="n">
        <f aca="false">I88</f>
        <v>103.1</v>
      </c>
    </row>
    <row r="105" customFormat="false" ht="15.75" hidden="false" customHeight="false" outlineLevel="0" collapsed="false">
      <c r="A105" s="17" t="s">
        <v>100</v>
      </c>
      <c r="B105" s="83" t="s">
        <v>112</v>
      </c>
      <c r="C105" s="83"/>
      <c r="D105" s="83"/>
      <c r="E105" s="83"/>
      <c r="F105" s="83"/>
      <c r="G105" s="83"/>
      <c r="H105" s="83"/>
      <c r="I105" s="282" t="n">
        <f aca="false">I98</f>
        <v>367.69</v>
      </c>
    </row>
    <row r="106" customFormat="false" ht="15.75" hidden="false" customHeight="false" outlineLevel="0" collapsed="false">
      <c r="A106" s="60" t="s">
        <v>76</v>
      </c>
      <c r="B106" s="60"/>
      <c r="C106" s="60"/>
      <c r="D106" s="60"/>
      <c r="E106" s="60"/>
      <c r="F106" s="60"/>
      <c r="G106" s="60"/>
      <c r="H106" s="60"/>
      <c r="I106" s="275" t="n">
        <f aca="false">SUM(I101:I105)</f>
        <v>1320.8542</v>
      </c>
      <c r="K106" s="106"/>
    </row>
    <row r="107" customFormat="false" ht="16.5" hidden="false" customHeight="true" outlineLevel="0" collapsed="false">
      <c r="A107" s="107" t="s">
        <v>113</v>
      </c>
      <c r="B107" s="107"/>
      <c r="C107" s="107"/>
      <c r="D107" s="107"/>
      <c r="E107" s="107"/>
      <c r="F107" s="107"/>
      <c r="G107" s="107"/>
      <c r="H107" s="107"/>
      <c r="I107" s="107"/>
    </row>
    <row r="108" customFormat="false" ht="15.75" hidden="false" customHeight="false" outlineLevel="0" collapsed="false">
      <c r="A108" s="62" t="n">
        <v>5</v>
      </c>
      <c r="B108" s="63" t="s">
        <v>114</v>
      </c>
      <c r="C108" s="63"/>
      <c r="D108" s="63"/>
      <c r="E108" s="63"/>
      <c r="F108" s="63"/>
      <c r="G108" s="63"/>
      <c r="H108" s="108" t="s">
        <v>63</v>
      </c>
      <c r="I108" s="272" t="s">
        <v>35</v>
      </c>
    </row>
    <row r="109" customFormat="false" ht="48" hidden="false" customHeight="true" outlineLevel="0" collapsed="false">
      <c r="A109" s="109" t="s">
        <v>115</v>
      </c>
      <c r="B109" s="109"/>
      <c r="C109" s="109"/>
      <c r="D109" s="109"/>
      <c r="E109" s="109"/>
      <c r="F109" s="109"/>
      <c r="G109" s="109"/>
      <c r="H109" s="110" t="n">
        <v>0</v>
      </c>
      <c r="I109" s="287" t="n">
        <f aca="false">(I40+I49+I54+I106)</f>
        <v>3822.00845</v>
      </c>
    </row>
    <row r="110" customFormat="false" ht="15.75" hidden="false" customHeight="false" outlineLevel="0" collapsed="false">
      <c r="A110" s="17" t="s">
        <v>8</v>
      </c>
      <c r="B110" s="83" t="s">
        <v>116</v>
      </c>
      <c r="C110" s="83"/>
      <c r="D110" s="83"/>
      <c r="E110" s="83"/>
      <c r="F110" s="83"/>
      <c r="G110" s="83"/>
      <c r="H110" s="112" t="n">
        <f aca="false">'Dom Pedrito 4.2'!H110</f>
        <v>0.1207</v>
      </c>
      <c r="I110" s="273" t="n">
        <f aca="false">ROUND(I109*H110,2)</f>
        <v>461.32</v>
      </c>
      <c r="J110" s="113"/>
    </row>
    <row r="111" customFormat="false" ht="45.75" hidden="false" customHeight="true" outlineLevel="0" collapsed="false">
      <c r="A111" s="109" t="s">
        <v>117</v>
      </c>
      <c r="B111" s="109"/>
      <c r="C111" s="109"/>
      <c r="D111" s="109"/>
      <c r="E111" s="109"/>
      <c r="F111" s="109"/>
      <c r="G111" s="109"/>
      <c r="H111" s="114" t="n">
        <v>0</v>
      </c>
      <c r="I111" s="288" t="n">
        <f aca="false">I109+I110</f>
        <v>4283.32845</v>
      </c>
      <c r="J111" s="113"/>
    </row>
    <row r="112" customFormat="false" ht="15.75" hidden="false" customHeight="false" outlineLevel="0" collapsed="false">
      <c r="A112" s="17" t="s">
        <v>10</v>
      </c>
      <c r="B112" s="83" t="s">
        <v>118</v>
      </c>
      <c r="C112" s="83"/>
      <c r="D112" s="83"/>
      <c r="E112" s="83"/>
      <c r="F112" s="83"/>
      <c r="G112" s="83"/>
      <c r="H112" s="112" t="n">
        <f aca="false">'Dom Pedrito 4.2'!H112</f>
        <v>0.0818</v>
      </c>
      <c r="I112" s="273" t="n">
        <f aca="false">ROUND(I111*H112,2)</f>
        <v>350.38</v>
      </c>
      <c r="J112" s="116"/>
    </row>
    <row r="113" customFormat="false" ht="46.5" hidden="false" customHeight="true" outlineLevel="0" collapsed="false">
      <c r="A113" s="109" t="s">
        <v>119</v>
      </c>
      <c r="B113" s="109"/>
      <c r="C113" s="109"/>
      <c r="D113" s="109"/>
      <c r="E113" s="109"/>
      <c r="F113" s="109"/>
      <c r="G113" s="109"/>
      <c r="H113" s="117" t="n">
        <v>0</v>
      </c>
      <c r="I113" s="289" t="n">
        <f aca="false">I111+I112</f>
        <v>4633.70845</v>
      </c>
      <c r="J113" s="116"/>
    </row>
    <row r="114" customFormat="false" ht="15.75" hidden="false" customHeight="false" outlineLevel="0" collapsed="false">
      <c r="A114" s="17" t="s">
        <v>12</v>
      </c>
      <c r="B114" s="83" t="s">
        <v>120</v>
      </c>
      <c r="C114" s="83"/>
      <c r="D114" s="83"/>
      <c r="E114" s="83"/>
      <c r="F114" s="83"/>
      <c r="G114" s="83"/>
      <c r="H114" s="119" t="s">
        <v>198</v>
      </c>
      <c r="I114" s="290" t="s">
        <v>198</v>
      </c>
      <c r="J114" s="116"/>
    </row>
    <row r="115" customFormat="false" ht="15.75" hidden="false" customHeight="false" outlineLevel="0" collapsed="false">
      <c r="A115" s="17"/>
      <c r="B115" s="83" t="s">
        <v>121</v>
      </c>
      <c r="C115" s="83"/>
      <c r="D115" s="83"/>
      <c r="E115" s="83"/>
      <c r="F115" s="83"/>
      <c r="G115" s="83"/>
      <c r="H115" s="119" t="s">
        <v>198</v>
      </c>
      <c r="I115" s="290" t="s">
        <v>198</v>
      </c>
    </row>
    <row r="116" customFormat="false" ht="28.5" hidden="false" customHeight="true" outlineLevel="0" collapsed="false">
      <c r="A116" s="17"/>
      <c r="B116" s="67" t="s">
        <v>199</v>
      </c>
      <c r="C116" s="67"/>
      <c r="D116" s="67"/>
      <c r="E116" s="67"/>
      <c r="F116" s="67"/>
      <c r="G116" s="67"/>
      <c r="H116" s="121" t="n">
        <v>0.03</v>
      </c>
      <c r="I116" s="273" t="n">
        <f aca="false">ROUND(($I$113/(1-H123))*H116,2)</f>
        <v>148.91</v>
      </c>
    </row>
    <row r="117" customFormat="false" ht="33.75" hidden="false" customHeight="true" outlineLevel="0" collapsed="false">
      <c r="A117" s="17"/>
      <c r="B117" s="67" t="s">
        <v>200</v>
      </c>
      <c r="C117" s="67"/>
      <c r="D117" s="67"/>
      <c r="E117" s="67"/>
      <c r="F117" s="67"/>
      <c r="G117" s="67"/>
      <c r="H117" s="121" t="n">
        <v>0.0065</v>
      </c>
      <c r="I117" s="273" t="n">
        <f aca="false">ROUND(($I$113/(1-H123))*H117,2)</f>
        <v>32.26</v>
      </c>
      <c r="K117" s="66"/>
    </row>
    <row r="118" customFormat="false" ht="33" hidden="false" customHeight="true" outlineLevel="0" collapsed="false">
      <c r="A118" s="17"/>
      <c r="B118" s="122" t="s">
        <v>124</v>
      </c>
      <c r="C118" s="122"/>
      <c r="D118" s="122"/>
      <c r="E118" s="122"/>
      <c r="F118" s="122"/>
      <c r="G118" s="122"/>
      <c r="H118" s="121" t="s">
        <v>198</v>
      </c>
      <c r="I118" s="290" t="s">
        <v>198</v>
      </c>
      <c r="K118" s="66"/>
    </row>
    <row r="119" customFormat="false" ht="15.75" hidden="false" customHeight="false" outlineLevel="0" collapsed="false">
      <c r="A119" s="17"/>
      <c r="B119" s="83" t="s">
        <v>125</v>
      </c>
      <c r="C119" s="83"/>
      <c r="D119" s="83"/>
      <c r="E119" s="83"/>
      <c r="F119" s="83"/>
      <c r="G119" s="83"/>
      <c r="H119" s="119" t="s">
        <v>198</v>
      </c>
      <c r="I119" s="290" t="s">
        <v>198</v>
      </c>
    </row>
    <row r="120" customFormat="false" ht="15.75" hidden="false" customHeight="false" outlineLevel="0" collapsed="false">
      <c r="A120" s="17"/>
      <c r="B120" s="83" t="s">
        <v>126</v>
      </c>
      <c r="C120" s="83"/>
      <c r="D120" s="83"/>
      <c r="E120" s="83"/>
      <c r="F120" s="83"/>
      <c r="G120" s="83"/>
      <c r="H120" s="119" t="s">
        <v>198</v>
      </c>
      <c r="I120" s="290" t="s">
        <v>198</v>
      </c>
      <c r="K120" s="66"/>
    </row>
    <row r="121" customFormat="false" ht="15.75" hidden="false" customHeight="false" outlineLevel="0" collapsed="false">
      <c r="A121" s="17"/>
      <c r="B121" s="74" t="s">
        <v>285</v>
      </c>
      <c r="C121" s="74"/>
      <c r="D121" s="74"/>
      <c r="E121" s="74"/>
      <c r="F121" s="74"/>
      <c r="G121" s="74"/>
      <c r="H121" s="124" t="n">
        <v>0.03</v>
      </c>
      <c r="I121" s="273" t="n">
        <f aca="false">ROUND(($I$113/(1-H123))*H121,2)</f>
        <v>148.91</v>
      </c>
    </row>
    <row r="122" customFormat="false" ht="15.75" hidden="false" customHeight="false" outlineLevel="0" collapsed="false">
      <c r="A122" s="125" t="s">
        <v>76</v>
      </c>
      <c r="B122" s="125"/>
      <c r="C122" s="125"/>
      <c r="D122" s="125"/>
      <c r="E122" s="125"/>
      <c r="F122" s="125"/>
      <c r="G122" s="125"/>
      <c r="H122" s="125"/>
      <c r="I122" s="291" t="n">
        <f aca="false">I110+I112+I116+I117+I121</f>
        <v>1141.78</v>
      </c>
    </row>
    <row r="123" customFormat="false" ht="15.75" hidden="false" customHeight="false" outlineLevel="0" collapsed="false">
      <c r="A123" s="127" t="s">
        <v>128</v>
      </c>
      <c r="B123" s="127"/>
      <c r="C123" s="127"/>
      <c r="D123" s="127"/>
      <c r="E123" s="127"/>
      <c r="F123" s="127"/>
      <c r="G123" s="127"/>
      <c r="H123" s="128" t="n">
        <f aca="false">SUM(H116:H121)</f>
        <v>0.0665</v>
      </c>
      <c r="I123" s="292" t="n">
        <f aca="false">SUM(I116+I117+I121)</f>
        <v>330.08</v>
      </c>
    </row>
    <row r="124" customFormat="false" ht="15.75" hidden="false" customHeight="false" outlineLevel="0" collapsed="false">
      <c r="A124" s="130" t="s">
        <v>129</v>
      </c>
      <c r="B124" s="130"/>
      <c r="C124" s="293" t="s">
        <v>130</v>
      </c>
      <c r="D124" s="293"/>
      <c r="E124" s="293"/>
      <c r="F124" s="293"/>
      <c r="G124" s="293"/>
      <c r="H124" s="293"/>
      <c r="I124" s="293"/>
    </row>
    <row r="125" customFormat="false" ht="15" hidden="false" customHeight="false" outlineLevel="0" collapsed="false">
      <c r="A125" s="130"/>
      <c r="B125" s="130"/>
      <c r="C125" s="294" t="s">
        <v>131</v>
      </c>
      <c r="D125" s="294"/>
      <c r="E125" s="294"/>
      <c r="F125" s="294"/>
      <c r="G125" s="294"/>
      <c r="H125" s="294"/>
      <c r="I125" s="294"/>
    </row>
    <row r="126" customFormat="false" ht="15.75" hidden="false" customHeight="false" outlineLevel="0" collapsed="false">
      <c r="A126" s="133" t="s">
        <v>132</v>
      </c>
      <c r="B126" s="133"/>
      <c r="C126" s="133"/>
      <c r="D126" s="133"/>
      <c r="E126" s="133"/>
      <c r="F126" s="133"/>
      <c r="G126" s="133"/>
      <c r="H126" s="133"/>
      <c r="I126" s="133"/>
    </row>
    <row r="127" customFormat="false" ht="15.75" hidden="false" customHeight="false" outlineLevel="0" collapsed="false">
      <c r="A127" s="94" t="s">
        <v>133</v>
      </c>
      <c r="B127" s="94"/>
      <c r="C127" s="94"/>
      <c r="D127" s="94"/>
      <c r="E127" s="94"/>
      <c r="F127" s="94"/>
      <c r="G127" s="94"/>
      <c r="H127" s="94"/>
      <c r="I127" s="94"/>
    </row>
    <row r="128" customFormat="false" ht="15.75" hidden="false" customHeight="false" outlineLevel="0" collapsed="false">
      <c r="A128" s="295"/>
      <c r="B128" s="295"/>
      <c r="C128" s="295"/>
      <c r="D128" s="295"/>
      <c r="E128" s="295"/>
      <c r="F128" s="295"/>
      <c r="G128" s="295"/>
      <c r="H128" s="295"/>
      <c r="I128" s="295"/>
    </row>
    <row r="129" customFormat="false" ht="15.75" hidden="false" customHeight="false" outlineLevel="0" collapsed="false">
      <c r="A129" s="33" t="s">
        <v>134</v>
      </c>
      <c r="B129" s="33"/>
      <c r="C129" s="33"/>
      <c r="D129" s="33"/>
      <c r="E129" s="33"/>
      <c r="F129" s="33"/>
      <c r="G129" s="33"/>
      <c r="H129" s="33"/>
      <c r="I129" s="33"/>
    </row>
    <row r="130" customFormat="false" ht="15.75" hidden="false" customHeight="false" outlineLevel="0" collapsed="false">
      <c r="A130" s="135" t="s">
        <v>135</v>
      </c>
      <c r="B130" s="135"/>
      <c r="C130" s="135"/>
      <c r="D130" s="135"/>
      <c r="E130" s="135"/>
      <c r="F130" s="135"/>
      <c r="G130" s="135"/>
      <c r="H130" s="135"/>
      <c r="I130" s="135"/>
    </row>
    <row r="131" customFormat="false" ht="15.75" hidden="false" customHeight="false" outlineLevel="0" collapsed="false">
      <c r="A131" s="136" t="s">
        <v>136</v>
      </c>
      <c r="B131" s="136"/>
      <c r="C131" s="136"/>
      <c r="D131" s="136"/>
      <c r="E131" s="136"/>
      <c r="F131" s="136"/>
      <c r="G131" s="136"/>
      <c r="H131" s="136"/>
      <c r="I131" s="296" t="s">
        <v>35</v>
      </c>
    </row>
    <row r="132" customFormat="false" ht="15.75" hidden="false" customHeight="false" outlineLevel="0" collapsed="false">
      <c r="A132" s="14" t="s">
        <v>8</v>
      </c>
      <c r="B132" s="15" t="s">
        <v>137</v>
      </c>
      <c r="C132" s="15"/>
      <c r="D132" s="15"/>
      <c r="E132" s="15"/>
      <c r="F132" s="15"/>
      <c r="G132" s="15"/>
      <c r="H132" s="15"/>
      <c r="I132" s="297" t="n">
        <f aca="false">I40</f>
        <v>1891.908</v>
      </c>
    </row>
    <row r="133" customFormat="false" ht="15.75" hidden="false" customHeight="false" outlineLevel="0" collapsed="false">
      <c r="A133" s="14" t="s">
        <v>10</v>
      </c>
      <c r="B133" s="15" t="s">
        <v>138</v>
      </c>
      <c r="C133" s="15"/>
      <c r="D133" s="15"/>
      <c r="E133" s="15"/>
      <c r="F133" s="15"/>
      <c r="G133" s="15"/>
      <c r="H133" s="15"/>
      <c r="I133" s="297" t="n">
        <f aca="false">I49</f>
        <v>471.57</v>
      </c>
    </row>
    <row r="134" customFormat="false" ht="15.75" hidden="false" customHeight="false" outlineLevel="0" collapsed="false">
      <c r="A134" s="14" t="s">
        <v>12</v>
      </c>
      <c r="B134" s="15" t="s">
        <v>139</v>
      </c>
      <c r="C134" s="15"/>
      <c r="D134" s="15"/>
      <c r="E134" s="15"/>
      <c r="F134" s="15"/>
      <c r="G134" s="15"/>
      <c r="H134" s="15"/>
      <c r="I134" s="298" t="n">
        <f aca="false">I54</f>
        <v>137.67625</v>
      </c>
    </row>
    <row r="135" customFormat="false" ht="15.75" hidden="false" customHeight="false" outlineLevel="0" collapsed="false">
      <c r="A135" s="14" t="s">
        <v>14</v>
      </c>
      <c r="B135" s="15" t="s">
        <v>109</v>
      </c>
      <c r="C135" s="15"/>
      <c r="D135" s="15"/>
      <c r="E135" s="15"/>
      <c r="F135" s="15"/>
      <c r="G135" s="15"/>
      <c r="H135" s="15"/>
      <c r="I135" s="297" t="n">
        <f aca="false">I106</f>
        <v>1320.8542</v>
      </c>
    </row>
    <row r="136" customFormat="false" ht="15.75" hidden="false" customHeight="false" outlineLevel="0" collapsed="false">
      <c r="A136" s="140" t="s">
        <v>140</v>
      </c>
      <c r="B136" s="140"/>
      <c r="C136" s="140"/>
      <c r="D136" s="140"/>
      <c r="E136" s="140"/>
      <c r="F136" s="140"/>
      <c r="G136" s="140"/>
      <c r="H136" s="140"/>
      <c r="I136" s="299" t="n">
        <f aca="false">SUM(I132:I135)</f>
        <v>3822.00845</v>
      </c>
    </row>
    <row r="137" customFormat="false" ht="15.75" hidden="false" customHeight="false" outlineLevel="0" collapsed="false">
      <c r="A137" s="14" t="s">
        <v>40</v>
      </c>
      <c r="B137" s="15" t="s">
        <v>141</v>
      </c>
      <c r="C137" s="15"/>
      <c r="D137" s="15"/>
      <c r="E137" s="15"/>
      <c r="F137" s="15"/>
      <c r="G137" s="15"/>
      <c r="H137" s="15"/>
      <c r="I137" s="297" t="n">
        <f aca="false">I122</f>
        <v>1141.78</v>
      </c>
    </row>
    <row r="138" customFormat="false" ht="15.75" hidden="false" customHeight="false" outlineLevel="0" collapsed="false">
      <c r="A138" s="143" t="s">
        <v>142</v>
      </c>
      <c r="B138" s="143"/>
      <c r="C138" s="143"/>
      <c r="D138" s="143"/>
      <c r="E138" s="143"/>
      <c r="F138" s="143"/>
      <c r="G138" s="143"/>
      <c r="H138" s="143"/>
      <c r="I138" s="300" t="n">
        <f aca="false">SUM(I136+I137)</f>
        <v>4963.78845</v>
      </c>
    </row>
    <row r="139" customFormat="false" ht="15.75" hidden="false" customHeight="false" outlineLevel="0" collapsed="false">
      <c r="A139" s="301"/>
      <c r="B139" s="301"/>
      <c r="C139" s="301"/>
      <c r="D139" s="301"/>
      <c r="E139" s="301"/>
      <c r="F139" s="301"/>
      <c r="G139" s="301"/>
      <c r="H139" s="301"/>
      <c r="I139" s="301"/>
    </row>
    <row r="140" customFormat="false" ht="15.75" hidden="false" customHeight="false" outlineLevel="0" collapsed="false">
      <c r="A140" s="33" t="s">
        <v>143</v>
      </c>
      <c r="B140" s="33"/>
      <c r="C140" s="33"/>
      <c r="D140" s="33"/>
      <c r="E140" s="33"/>
      <c r="F140" s="33"/>
      <c r="G140" s="33"/>
      <c r="H140" s="33"/>
      <c r="I140" s="33"/>
    </row>
    <row r="141" customFormat="false" ht="15.75" hidden="false" customHeight="false" outlineLevel="0" collapsed="false">
      <c r="A141" s="146" t="s">
        <v>144</v>
      </c>
      <c r="B141" s="146"/>
      <c r="C141" s="146"/>
      <c r="D141" s="146"/>
      <c r="E141" s="146"/>
      <c r="F141" s="146"/>
      <c r="G141" s="146"/>
      <c r="H141" s="146"/>
      <c r="I141" s="146"/>
    </row>
    <row r="142" customFormat="false" ht="47.25" hidden="false" customHeight="true" outlineLevel="0" collapsed="false">
      <c r="A142" s="147" t="s">
        <v>145</v>
      </c>
      <c r="B142" s="147"/>
      <c r="C142" s="148" t="s">
        <v>146</v>
      </c>
      <c r="D142" s="148"/>
      <c r="E142" s="149" t="s">
        <v>147</v>
      </c>
      <c r="F142" s="148" t="s">
        <v>148</v>
      </c>
      <c r="G142" s="148"/>
      <c r="H142" s="148" t="s">
        <v>149</v>
      </c>
      <c r="I142" s="302" t="s">
        <v>150</v>
      </c>
    </row>
    <row r="143" customFormat="false" ht="16.5" hidden="false" customHeight="true" outlineLevel="0" collapsed="false">
      <c r="A143" s="151" t="s">
        <v>26</v>
      </c>
      <c r="B143" s="151"/>
      <c r="C143" s="152" t="n">
        <f aca="false">I138</f>
        <v>4963.78845</v>
      </c>
      <c r="D143" s="152"/>
      <c r="E143" s="153" t="n">
        <v>2</v>
      </c>
      <c r="F143" s="154" t="n">
        <f aca="false">C143</f>
        <v>4963.78845</v>
      </c>
      <c r="G143" s="154"/>
      <c r="H143" s="155" t="n">
        <v>1</v>
      </c>
      <c r="I143" s="303" t="n">
        <f aca="false">F143*H143</f>
        <v>4963.78845</v>
      </c>
    </row>
    <row r="144" customFormat="false" ht="15.75" hidden="false" customHeight="false" outlineLevel="0" collapsed="false">
      <c r="A144" s="301"/>
      <c r="B144" s="301"/>
      <c r="C144" s="301"/>
      <c r="D144" s="301"/>
      <c r="E144" s="301"/>
      <c r="F144" s="301"/>
      <c r="G144" s="301"/>
      <c r="H144" s="301"/>
      <c r="I144" s="301"/>
    </row>
    <row r="145" customFormat="false" ht="15.75" hidden="false" customHeight="false" outlineLevel="0" collapsed="false">
      <c r="A145" s="33" t="s">
        <v>151</v>
      </c>
      <c r="B145" s="33"/>
      <c r="C145" s="33"/>
      <c r="D145" s="33"/>
      <c r="E145" s="33"/>
      <c r="F145" s="33"/>
      <c r="G145" s="33"/>
      <c r="H145" s="33"/>
      <c r="I145" s="33"/>
    </row>
    <row r="146" customFormat="false" ht="15.75" hidden="false" customHeight="false" outlineLevel="0" collapsed="false">
      <c r="A146" s="146" t="s">
        <v>152</v>
      </c>
      <c r="B146" s="146"/>
      <c r="C146" s="146"/>
      <c r="D146" s="146"/>
      <c r="E146" s="146"/>
      <c r="F146" s="146"/>
      <c r="G146" s="146"/>
      <c r="H146" s="146"/>
      <c r="I146" s="146"/>
    </row>
    <row r="147" customFormat="false" ht="15.75" hidden="false" customHeight="false" outlineLevel="0" collapsed="false">
      <c r="A147" s="157" t="s">
        <v>153</v>
      </c>
      <c r="B147" s="157"/>
      <c r="C147" s="157"/>
      <c r="D147" s="157"/>
      <c r="E147" s="157"/>
      <c r="F147" s="157"/>
      <c r="G147" s="157"/>
      <c r="H147" s="157"/>
      <c r="I147" s="157"/>
    </row>
    <row r="148" customFormat="false" ht="15.75" hidden="false" customHeight="false" outlineLevel="0" collapsed="false">
      <c r="A148" s="158" t="s">
        <v>8</v>
      </c>
      <c r="B148" s="15" t="s">
        <v>154</v>
      </c>
      <c r="C148" s="15"/>
      <c r="D148" s="15"/>
      <c r="E148" s="15"/>
      <c r="F148" s="15"/>
      <c r="G148" s="15"/>
      <c r="H148" s="15"/>
      <c r="I148" s="304" t="n">
        <f aca="false">F143</f>
        <v>4963.78845</v>
      </c>
    </row>
    <row r="149" customFormat="false" ht="15.75" hidden="false" customHeight="false" outlineLevel="0" collapsed="false">
      <c r="A149" s="158" t="s">
        <v>10</v>
      </c>
      <c r="B149" s="15" t="s">
        <v>155</v>
      </c>
      <c r="C149" s="15"/>
      <c r="D149" s="15"/>
      <c r="E149" s="15"/>
      <c r="F149" s="15"/>
      <c r="G149" s="15"/>
      <c r="H149" s="15"/>
      <c r="I149" s="305" t="n">
        <f aca="false">I143</f>
        <v>4963.78845</v>
      </c>
    </row>
    <row r="150" customFormat="false" ht="16.5" hidden="false" customHeight="true" outlineLevel="0" collapsed="false">
      <c r="A150" s="161" t="s">
        <v>12</v>
      </c>
      <c r="B150" s="162" t="s">
        <v>156</v>
      </c>
      <c r="C150" s="162"/>
      <c r="D150" s="162"/>
      <c r="E150" s="162"/>
      <c r="F150" s="162"/>
      <c r="G150" s="162"/>
      <c r="H150" s="162"/>
      <c r="I150" s="306" t="n">
        <f aca="false">I149*12</f>
        <v>59565.4614</v>
      </c>
    </row>
  </sheetData>
  <mergeCells count="155">
    <mergeCell ref="A8:I8"/>
    <mergeCell ref="A9:I9"/>
    <mergeCell ref="A10:I10"/>
    <mergeCell ref="A11:I11"/>
    <mergeCell ref="A12:I12"/>
    <mergeCell ref="A13:I13"/>
    <mergeCell ref="A14:I14"/>
    <mergeCell ref="B15:H15"/>
    <mergeCell ref="B16:H16"/>
    <mergeCell ref="B17:H17"/>
    <mergeCell ref="B18:H18"/>
    <mergeCell ref="A19:I19"/>
    <mergeCell ref="A20:D20"/>
    <mergeCell ref="E20:F20"/>
    <mergeCell ref="G20:I20"/>
    <mergeCell ref="A21:D21"/>
    <mergeCell ref="E21:F22"/>
    <mergeCell ref="G21:I22"/>
    <mergeCell ref="A22:D22"/>
    <mergeCell ref="B23:I23"/>
    <mergeCell ref="A24:I24"/>
    <mergeCell ref="A25:I25"/>
    <mergeCell ref="A26:I26"/>
    <mergeCell ref="B27:H27"/>
    <mergeCell ref="B28:H28"/>
    <mergeCell ref="B29:H29"/>
    <mergeCell ref="B30:H30"/>
    <mergeCell ref="B31:H31"/>
    <mergeCell ref="B32:H32"/>
    <mergeCell ref="B33:H33"/>
    <mergeCell ref="A34:I34"/>
    <mergeCell ref="A35:I35"/>
    <mergeCell ref="B36:H36"/>
    <mergeCell ref="B37:H37"/>
    <mergeCell ref="B38:H38"/>
    <mergeCell ref="B39:H39"/>
    <mergeCell ref="A40:H40"/>
    <mergeCell ref="A41:I41"/>
    <mergeCell ref="B42:H42"/>
    <mergeCell ref="A43:A45"/>
    <mergeCell ref="B43:H43"/>
    <mergeCell ref="B44:G44"/>
    <mergeCell ref="B45:G45"/>
    <mergeCell ref="A46:A47"/>
    <mergeCell ref="B46:H46"/>
    <mergeCell ref="B47:G47"/>
    <mergeCell ref="B48:H48"/>
    <mergeCell ref="A49:H49"/>
    <mergeCell ref="A50:I50"/>
    <mergeCell ref="A51:I51"/>
    <mergeCell ref="B52:H52"/>
    <mergeCell ref="B53:H53"/>
    <mergeCell ref="A54:H54"/>
    <mergeCell ref="A55:I55"/>
    <mergeCell ref="A56:I56"/>
    <mergeCell ref="B57:G57"/>
    <mergeCell ref="B58:G58"/>
    <mergeCell ref="B59:G59"/>
    <mergeCell ref="B60:G60"/>
    <mergeCell ref="B61:G61"/>
    <mergeCell ref="B62:G62"/>
    <mergeCell ref="B63:G63"/>
    <mergeCell ref="B64:E64"/>
    <mergeCell ref="B65:G65"/>
    <mergeCell ref="A66:G66"/>
    <mergeCell ref="A67:I67"/>
    <mergeCell ref="A68:I68"/>
    <mergeCell ref="A69:I69"/>
    <mergeCell ref="B70:H70"/>
    <mergeCell ref="B71:H71"/>
    <mergeCell ref="A72:H72"/>
    <mergeCell ref="B73:H73"/>
    <mergeCell ref="A74:H74"/>
    <mergeCell ref="A75:I75"/>
    <mergeCell ref="B76:H76"/>
    <mergeCell ref="B77:H77"/>
    <mergeCell ref="B78:H78"/>
    <mergeCell ref="A79:H79"/>
    <mergeCell ref="A80:I80"/>
    <mergeCell ref="B81:H81"/>
    <mergeCell ref="B82:H82"/>
    <mergeCell ref="B83:H83"/>
    <mergeCell ref="B84:H84"/>
    <mergeCell ref="B85:H85"/>
    <mergeCell ref="B86:H86"/>
    <mergeCell ref="B87:H87"/>
    <mergeCell ref="A88:H88"/>
    <mergeCell ref="A89:I89"/>
    <mergeCell ref="B90:H90"/>
    <mergeCell ref="B91:H91"/>
    <mergeCell ref="B92:H92"/>
    <mergeCell ref="B93:H93"/>
    <mergeCell ref="B94:H94"/>
    <mergeCell ref="B95:H95"/>
    <mergeCell ref="A96:H96"/>
    <mergeCell ref="B97:H97"/>
    <mergeCell ref="A98:H98"/>
    <mergeCell ref="A99:I99"/>
    <mergeCell ref="B100:H100"/>
    <mergeCell ref="B101:H101"/>
    <mergeCell ref="B102:H102"/>
    <mergeCell ref="B103:H103"/>
    <mergeCell ref="B104:H104"/>
    <mergeCell ref="B105:H105"/>
    <mergeCell ref="A106:H106"/>
    <mergeCell ref="A107:I107"/>
    <mergeCell ref="B108:G108"/>
    <mergeCell ref="A109:G109"/>
    <mergeCell ref="B110:G110"/>
    <mergeCell ref="A111:G111"/>
    <mergeCell ref="B112:G112"/>
    <mergeCell ref="A113:G113"/>
    <mergeCell ref="A114:A121"/>
    <mergeCell ref="B114:G114"/>
    <mergeCell ref="B115:G115"/>
    <mergeCell ref="B116:G116"/>
    <mergeCell ref="B117:G117"/>
    <mergeCell ref="B118:G118"/>
    <mergeCell ref="B119:G119"/>
    <mergeCell ref="B120:G120"/>
    <mergeCell ref="B121:G121"/>
    <mergeCell ref="A122:H122"/>
    <mergeCell ref="A123:G123"/>
    <mergeCell ref="A124:B125"/>
    <mergeCell ref="C124:I124"/>
    <mergeCell ref="C125:I125"/>
    <mergeCell ref="A126:I126"/>
    <mergeCell ref="A127:I127"/>
    <mergeCell ref="A128:I128"/>
    <mergeCell ref="A129:I129"/>
    <mergeCell ref="A130:I130"/>
    <mergeCell ref="A131:H131"/>
    <mergeCell ref="B132:H132"/>
    <mergeCell ref="B133:H133"/>
    <mergeCell ref="B134:H134"/>
    <mergeCell ref="B135:H135"/>
    <mergeCell ref="A136:H136"/>
    <mergeCell ref="B137:H137"/>
    <mergeCell ref="A138:H138"/>
    <mergeCell ref="A139:I139"/>
    <mergeCell ref="A140:I140"/>
    <mergeCell ref="A141:I141"/>
    <mergeCell ref="A142:B142"/>
    <mergeCell ref="C142:D142"/>
    <mergeCell ref="F142:G142"/>
    <mergeCell ref="A143:B143"/>
    <mergeCell ref="C143:D143"/>
    <mergeCell ref="F143:G143"/>
    <mergeCell ref="A144:I144"/>
    <mergeCell ref="A145:I145"/>
    <mergeCell ref="A146:I146"/>
    <mergeCell ref="A147:I147"/>
    <mergeCell ref="B148:H148"/>
    <mergeCell ref="B149:H149"/>
    <mergeCell ref="B150:H150"/>
  </mergeCells>
  <printOptions headings="false" gridLines="false" gridLinesSet="true" horizontalCentered="false" verticalCentered="false"/>
  <pageMargins left="0.698611111111111" right="0.698611111111111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4" man="true" max="16383" min="0"/>
    <brk id="106" man="true" max="16383" min="0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tabColor rgb="FFFDEADA"/>
    <pageSetUpPr fitToPage="false"/>
  </sheetPr>
  <dimension ref="A1:N151"/>
  <sheetViews>
    <sheetView showFormulas="false" showGridLines="true" showRowColHeaders="true" showZeros="true" rightToLeft="false" tabSelected="false" showOutlineSymbols="true" defaultGridColor="true" view="pageBreakPreview" topLeftCell="A133" colorId="64" zoomScale="76" zoomScaleNormal="100" zoomScalePageLayoutView="76" workbookViewId="0">
      <selection pane="topLeft" activeCell="I54" activeCellId="0" sqref="I54"/>
    </sheetView>
  </sheetViews>
  <sheetFormatPr defaultRowHeight="15" zeroHeight="false" outlineLevelRow="0" outlineLevelCol="0"/>
  <cols>
    <col collapsed="false" customWidth="true" hidden="false" outlineLevel="0" max="1" min="1" style="1" width="13.7"/>
    <col collapsed="false" customWidth="true" hidden="false" outlineLevel="0" max="2" min="2" style="1" width="14.69"/>
    <col collapsed="false" customWidth="true" hidden="false" outlineLevel="0" max="3" min="3" style="1" width="15.15"/>
    <col collapsed="false" customWidth="true" hidden="false" outlineLevel="0" max="4" min="4" style="1" width="14.86"/>
    <col collapsed="false" customWidth="true" hidden="false" outlineLevel="0" max="5" min="5" style="1" width="19.85"/>
    <col collapsed="false" customWidth="true" hidden="false" outlineLevel="0" max="6" min="6" style="1" width="15.88"/>
    <col collapsed="false" customWidth="true" hidden="false" outlineLevel="0" max="7" min="7" style="1" width="18.42"/>
    <col collapsed="false" customWidth="true" hidden="false" outlineLevel="0" max="8" min="8" style="1" width="24"/>
    <col collapsed="false" customWidth="true" hidden="false" outlineLevel="0" max="9" min="9" style="1" width="59.4"/>
    <col collapsed="false" customWidth="true" hidden="true" outlineLevel="0" max="11" min="10" style="1" width="9"/>
    <col collapsed="false" customWidth="true" hidden="false" outlineLevel="0" max="12" min="12" style="1" width="58.57"/>
    <col collapsed="false" customWidth="true" hidden="false" outlineLevel="0" max="1025" min="13" style="1" width="28.57"/>
  </cols>
  <sheetData>
    <row r="1" s="101" customFormat="true" ht="15.75" hidden="false" customHeight="false" outlineLevel="0" collapsed="false">
      <c r="A1" s="173" t="s">
        <v>178</v>
      </c>
      <c r="I1" s="261"/>
    </row>
    <row r="2" s="101" customFormat="true" ht="15.75" hidden="false" customHeight="false" outlineLevel="0" collapsed="false">
      <c r="A2" s="173" t="s">
        <v>179</v>
      </c>
      <c r="I2" s="261"/>
    </row>
    <row r="3" s="101" customFormat="true" ht="15.75" hidden="false" customHeight="false" outlineLevel="0" collapsed="false">
      <c r="A3" s="173" t="s">
        <v>180</v>
      </c>
      <c r="I3" s="261"/>
    </row>
    <row r="4" s="101" customFormat="true" ht="15.75" hidden="false" customHeight="false" outlineLevel="0" collapsed="false">
      <c r="A4" s="173" t="s">
        <v>181</v>
      </c>
      <c r="I4" s="261"/>
    </row>
    <row r="5" s="101" customFormat="true" ht="15.75" hidden="false" customHeight="false" outlineLevel="0" collapsed="false">
      <c r="A5" s="173" t="s">
        <v>182</v>
      </c>
      <c r="I5" s="261"/>
    </row>
    <row r="6" s="101" customFormat="true" ht="15.75" hidden="false" customHeight="false" outlineLevel="0" collapsed="false">
      <c r="A6" s="173" t="s">
        <v>183</v>
      </c>
      <c r="I6" s="261"/>
    </row>
    <row r="7" customFormat="false" ht="15.75" hidden="false" customHeight="false" outlineLevel="0" collapsed="false">
      <c r="A7" s="174" t="s">
        <v>184</v>
      </c>
      <c r="I7" s="262"/>
    </row>
    <row r="8" customFormat="false" ht="15.75" hidden="false" customHeight="false" outlineLevel="0" collapsed="false">
      <c r="A8" s="263" t="s">
        <v>1</v>
      </c>
      <c r="B8" s="263"/>
      <c r="C8" s="263"/>
      <c r="D8" s="263"/>
      <c r="E8" s="263"/>
      <c r="F8" s="263"/>
      <c r="G8" s="263"/>
      <c r="H8" s="263"/>
      <c r="I8" s="263"/>
    </row>
    <row r="9" customFormat="false" ht="15.75" hidden="false" customHeight="false" outlineLevel="0" collapsed="false">
      <c r="A9" s="4" t="s">
        <v>2</v>
      </c>
      <c r="B9" s="4"/>
      <c r="C9" s="4"/>
      <c r="D9" s="4"/>
      <c r="E9" s="4"/>
      <c r="F9" s="4"/>
      <c r="G9" s="4"/>
      <c r="H9" s="4"/>
      <c r="I9" s="4"/>
    </row>
    <row r="10" customFormat="false" ht="15.75" hidden="false" customHeight="false" outlineLevel="0" collapsed="false">
      <c r="A10" s="5" t="s">
        <v>3</v>
      </c>
      <c r="B10" s="5"/>
      <c r="C10" s="5"/>
      <c r="D10" s="5"/>
      <c r="E10" s="5"/>
      <c r="F10" s="5"/>
      <c r="G10" s="5"/>
      <c r="H10" s="5"/>
      <c r="I10" s="5"/>
    </row>
    <row r="11" customFormat="false" ht="15.75" hidden="false" customHeight="false" outlineLevel="0" collapsed="false">
      <c r="A11" s="6" t="s">
        <v>4</v>
      </c>
      <c r="B11" s="6"/>
      <c r="C11" s="6"/>
      <c r="D11" s="6"/>
      <c r="E11" s="6"/>
      <c r="F11" s="6"/>
      <c r="G11" s="6"/>
      <c r="H11" s="6"/>
      <c r="I11" s="6"/>
    </row>
    <row r="12" customFormat="false" ht="15.75" hidden="false" customHeight="false" outlineLevel="0" collapsed="false">
      <c r="A12" s="7" t="s">
        <v>5</v>
      </c>
      <c r="B12" s="7"/>
      <c r="C12" s="7"/>
      <c r="D12" s="7"/>
      <c r="E12" s="7"/>
      <c r="F12" s="7"/>
      <c r="G12" s="7"/>
      <c r="H12" s="7"/>
      <c r="I12" s="7"/>
    </row>
    <row r="13" customFormat="false" ht="15.75" hidden="false" customHeight="false" outlineLevel="0" collapsed="false">
      <c r="A13" s="8" t="s">
        <v>6</v>
      </c>
      <c r="B13" s="8"/>
      <c r="C13" s="8"/>
      <c r="D13" s="8"/>
      <c r="E13" s="8"/>
      <c r="F13" s="8"/>
      <c r="G13" s="8"/>
      <c r="H13" s="8"/>
      <c r="I13" s="8"/>
    </row>
    <row r="14" customFormat="false" ht="15.75" hidden="false" customHeight="false" outlineLevel="0" collapsed="false">
      <c r="A14" s="179" t="s">
        <v>7</v>
      </c>
      <c r="B14" s="179"/>
      <c r="C14" s="179"/>
      <c r="D14" s="179"/>
      <c r="E14" s="179"/>
      <c r="F14" s="179"/>
      <c r="G14" s="179"/>
      <c r="H14" s="179"/>
      <c r="I14" s="179"/>
    </row>
    <row r="15" customFormat="false" ht="15.75" hidden="false" customHeight="false" outlineLevel="0" collapsed="false">
      <c r="A15" s="10" t="s">
        <v>8</v>
      </c>
      <c r="B15" s="11" t="s">
        <v>9</v>
      </c>
      <c r="C15" s="11"/>
      <c r="D15" s="11"/>
      <c r="E15" s="11"/>
      <c r="F15" s="11"/>
      <c r="G15" s="11"/>
      <c r="H15" s="11"/>
      <c r="I15" s="264"/>
      <c r="L15" s="13"/>
    </row>
    <row r="16" customFormat="false" ht="15.75" hidden="false" customHeight="false" outlineLevel="0" collapsed="false">
      <c r="A16" s="14" t="s">
        <v>10</v>
      </c>
      <c r="B16" s="15" t="s">
        <v>11</v>
      </c>
      <c r="C16" s="15"/>
      <c r="D16" s="15"/>
      <c r="E16" s="15"/>
      <c r="F16" s="15"/>
      <c r="G16" s="15"/>
      <c r="H16" s="15"/>
      <c r="I16" s="265" t="s">
        <v>281</v>
      </c>
      <c r="L16" s="13"/>
    </row>
    <row r="17" customFormat="false" ht="47.25" hidden="false" customHeight="true" outlineLevel="0" collapsed="false">
      <c r="A17" s="17" t="s">
        <v>12</v>
      </c>
      <c r="B17" s="67" t="s">
        <v>13</v>
      </c>
      <c r="C17" s="67"/>
      <c r="D17" s="67"/>
      <c r="E17" s="67"/>
      <c r="F17" s="67"/>
      <c r="G17" s="67"/>
      <c r="H17" s="67"/>
      <c r="I17" s="266" t="s">
        <v>186</v>
      </c>
      <c r="L17" s="13"/>
    </row>
    <row r="18" customFormat="false" ht="15.75" hidden="false" customHeight="false" outlineLevel="0" collapsed="false">
      <c r="A18" s="20" t="s">
        <v>14</v>
      </c>
      <c r="B18" s="21" t="s">
        <v>15</v>
      </c>
      <c r="C18" s="21"/>
      <c r="D18" s="21"/>
      <c r="E18" s="21"/>
      <c r="F18" s="21"/>
      <c r="G18" s="21"/>
      <c r="H18" s="21"/>
      <c r="I18" s="267" t="n">
        <v>12</v>
      </c>
    </row>
    <row r="19" customFormat="false" ht="15.75" hidden="false" customHeight="false" outlineLevel="0" collapsed="false">
      <c r="A19" s="179" t="s">
        <v>16</v>
      </c>
      <c r="B19" s="179"/>
      <c r="C19" s="179"/>
      <c r="D19" s="179"/>
      <c r="E19" s="179"/>
      <c r="F19" s="179"/>
      <c r="G19" s="179"/>
      <c r="H19" s="179"/>
      <c r="I19" s="179"/>
    </row>
    <row r="20" customFormat="false" ht="15.75" hidden="false" customHeight="false" outlineLevel="0" collapsed="false">
      <c r="A20" s="23" t="s">
        <v>17</v>
      </c>
      <c r="B20" s="23"/>
      <c r="C20" s="23"/>
      <c r="D20" s="23"/>
      <c r="E20" s="24" t="s">
        <v>18</v>
      </c>
      <c r="F20" s="24"/>
      <c r="G20" s="25" t="s">
        <v>19</v>
      </c>
      <c r="H20" s="25"/>
      <c r="I20" s="25"/>
    </row>
    <row r="21" customFormat="false" ht="15.75" hidden="false" customHeight="true" outlineLevel="0" collapsed="false">
      <c r="A21" s="26" t="s">
        <v>20</v>
      </c>
      <c r="B21" s="26"/>
      <c r="C21" s="26"/>
      <c r="D21" s="26"/>
      <c r="E21" s="27" t="s">
        <v>21</v>
      </c>
      <c r="F21" s="27"/>
      <c r="G21" s="28" t="n">
        <v>1</v>
      </c>
      <c r="H21" s="28"/>
      <c r="I21" s="28"/>
    </row>
    <row r="22" customFormat="false" ht="33.75" hidden="false" customHeight="true" outlineLevel="0" collapsed="false">
      <c r="A22" s="310" t="s">
        <v>209</v>
      </c>
      <c r="B22" s="310"/>
      <c r="C22" s="310"/>
      <c r="D22" s="310"/>
      <c r="E22" s="27"/>
      <c r="F22" s="27"/>
      <c r="G22" s="28"/>
      <c r="H22" s="28"/>
      <c r="I22" s="28"/>
      <c r="L22" s="30"/>
    </row>
    <row r="23" customFormat="false" ht="15.75" hidden="false" customHeight="false" outlineLevel="0" collapsed="false">
      <c r="A23" s="31"/>
      <c r="B23" s="269"/>
      <c r="C23" s="269"/>
      <c r="D23" s="269"/>
      <c r="E23" s="269"/>
      <c r="F23" s="269"/>
      <c r="G23" s="269"/>
      <c r="H23" s="269"/>
      <c r="I23" s="269"/>
    </row>
    <row r="24" customFormat="false" ht="15.75" hidden="false" customHeight="false" outlineLevel="0" collapsed="false">
      <c r="A24" s="33" t="s">
        <v>22</v>
      </c>
      <c r="B24" s="33"/>
      <c r="C24" s="33"/>
      <c r="D24" s="33"/>
      <c r="E24" s="33"/>
      <c r="F24" s="33"/>
      <c r="G24" s="33"/>
      <c r="H24" s="33"/>
      <c r="I24" s="33"/>
    </row>
    <row r="25" customFormat="false" ht="15.75" hidden="false" customHeight="false" outlineLevel="0" collapsed="false">
      <c r="A25" s="34" t="s">
        <v>23</v>
      </c>
      <c r="B25" s="34"/>
      <c r="C25" s="34"/>
      <c r="D25" s="34"/>
      <c r="E25" s="34"/>
      <c r="F25" s="34"/>
      <c r="G25" s="34"/>
      <c r="H25" s="34"/>
      <c r="I25" s="34"/>
    </row>
    <row r="26" customFormat="false" ht="15.75" hidden="false" customHeight="false" outlineLevel="0" collapsed="false">
      <c r="A26" s="35" t="s">
        <v>24</v>
      </c>
      <c r="B26" s="35"/>
      <c r="C26" s="35"/>
      <c r="D26" s="35"/>
      <c r="E26" s="35"/>
      <c r="F26" s="35"/>
      <c r="G26" s="35"/>
      <c r="H26" s="35"/>
      <c r="I26" s="35"/>
    </row>
    <row r="27" customFormat="false" ht="15.75" hidden="false" customHeight="true" outlineLevel="0" collapsed="false">
      <c r="A27" s="14" t="n">
        <v>1</v>
      </c>
      <c r="B27" s="36" t="s">
        <v>25</v>
      </c>
      <c r="C27" s="36"/>
      <c r="D27" s="36"/>
      <c r="E27" s="36"/>
      <c r="F27" s="36"/>
      <c r="G27" s="36"/>
      <c r="H27" s="36"/>
      <c r="I27" s="266" t="s">
        <v>26</v>
      </c>
    </row>
    <row r="28" customFormat="false" ht="15.75" hidden="false" customHeight="true" outlineLevel="0" collapsed="false">
      <c r="A28" s="14" t="n">
        <v>2</v>
      </c>
      <c r="B28" s="38" t="s">
        <v>27</v>
      </c>
      <c r="C28" s="38"/>
      <c r="D28" s="38"/>
      <c r="E28" s="38"/>
      <c r="F28" s="38"/>
      <c r="G28" s="38"/>
      <c r="H28" s="38"/>
      <c r="I28" s="265" t="n">
        <f aca="false">Dados!B2</f>
        <v>1305.17</v>
      </c>
    </row>
    <row r="29" customFormat="false" ht="15.75" hidden="false" customHeight="true" outlineLevel="0" collapsed="false">
      <c r="A29" s="14" t="n">
        <v>3</v>
      </c>
      <c r="B29" s="38" t="s">
        <v>28</v>
      </c>
      <c r="C29" s="38"/>
      <c r="D29" s="38"/>
      <c r="E29" s="38"/>
      <c r="F29" s="38"/>
      <c r="G29" s="38"/>
      <c r="H29" s="38"/>
      <c r="I29" s="265" t="s">
        <v>188</v>
      </c>
    </row>
    <row r="30" customFormat="false" ht="15.75" hidden="false" customHeight="true" outlineLevel="0" collapsed="false">
      <c r="A30" s="40" t="n">
        <v>4</v>
      </c>
      <c r="B30" s="41" t="s">
        <v>29</v>
      </c>
      <c r="C30" s="41"/>
      <c r="D30" s="41"/>
      <c r="E30" s="41"/>
      <c r="F30" s="41"/>
      <c r="G30" s="41"/>
      <c r="H30" s="41"/>
      <c r="I30" s="270" t="n">
        <v>42005</v>
      </c>
    </row>
    <row r="31" customFormat="false" ht="15.75" hidden="false" customHeight="true" outlineLevel="0" collapsed="false">
      <c r="A31" s="40" t="n">
        <v>5</v>
      </c>
      <c r="B31" s="38" t="s">
        <v>30</v>
      </c>
      <c r="C31" s="38"/>
      <c r="D31" s="38"/>
      <c r="E31" s="38"/>
      <c r="F31" s="38"/>
      <c r="G31" s="38"/>
      <c r="H31" s="38"/>
      <c r="I31" s="270" t="n">
        <f aca="false">I28/220</f>
        <v>5.93259090909091</v>
      </c>
    </row>
    <row r="32" customFormat="false" ht="15.75" hidden="false" customHeight="true" outlineLevel="0" collapsed="false">
      <c r="A32" s="40" t="n">
        <v>6</v>
      </c>
      <c r="B32" s="38" t="s">
        <v>31</v>
      </c>
      <c r="C32" s="38"/>
      <c r="D32" s="38"/>
      <c r="E32" s="38"/>
      <c r="F32" s="38"/>
      <c r="G32" s="38"/>
      <c r="H32" s="38"/>
      <c r="I32" s="270" t="n">
        <f aca="false">I31*1.5</f>
        <v>8.89888636363636</v>
      </c>
    </row>
    <row r="33" customFormat="false" ht="16.5" hidden="false" customHeight="true" outlineLevel="0" collapsed="false">
      <c r="A33" s="20" t="n">
        <v>7</v>
      </c>
      <c r="B33" s="44" t="s">
        <v>32</v>
      </c>
      <c r="C33" s="44"/>
      <c r="D33" s="44"/>
      <c r="E33" s="44"/>
      <c r="F33" s="44"/>
      <c r="G33" s="44"/>
      <c r="H33" s="44"/>
      <c r="I33" s="267" t="n">
        <f aca="false">I31*0.2</f>
        <v>1.18651818181818</v>
      </c>
    </row>
    <row r="34" customFormat="false" ht="15.75" hidden="false" customHeight="false" outlineLevel="0" collapsed="false">
      <c r="A34" s="271"/>
      <c r="B34" s="271"/>
      <c r="C34" s="271"/>
      <c r="D34" s="271"/>
      <c r="E34" s="271"/>
      <c r="F34" s="271"/>
      <c r="G34" s="271"/>
      <c r="H34" s="271"/>
      <c r="I34" s="271"/>
    </row>
    <row r="35" customFormat="false" ht="15.75" hidden="false" customHeight="false" outlineLevel="0" collapsed="false">
      <c r="A35" s="47" t="s">
        <v>33</v>
      </c>
      <c r="B35" s="47"/>
      <c r="C35" s="47"/>
      <c r="D35" s="47"/>
      <c r="E35" s="47"/>
      <c r="F35" s="47"/>
      <c r="G35" s="47"/>
      <c r="H35" s="47"/>
      <c r="I35" s="47"/>
    </row>
    <row r="36" customFormat="false" ht="15.75" hidden="false" customHeight="false" outlineLevel="0" collapsed="false">
      <c r="A36" s="48" t="n">
        <v>1</v>
      </c>
      <c r="B36" s="49" t="s">
        <v>34</v>
      </c>
      <c r="C36" s="49"/>
      <c r="D36" s="49"/>
      <c r="E36" s="49"/>
      <c r="F36" s="49"/>
      <c r="G36" s="49"/>
      <c r="H36" s="49"/>
      <c r="I36" s="272" t="s">
        <v>35</v>
      </c>
      <c r="L36" s="51"/>
    </row>
    <row r="37" customFormat="false" ht="15.75" hidden="false" customHeight="false" outlineLevel="0" collapsed="false">
      <c r="A37" s="17" t="s">
        <v>8</v>
      </c>
      <c r="B37" s="52" t="s">
        <v>210</v>
      </c>
      <c r="C37" s="52"/>
      <c r="D37" s="52"/>
      <c r="E37" s="52"/>
      <c r="F37" s="52"/>
      <c r="G37" s="52"/>
      <c r="H37" s="52"/>
      <c r="I37" s="273" t="n">
        <f aca="false">ROUND(I28*2,2)</f>
        <v>2610.34</v>
      </c>
      <c r="L37" s="51"/>
    </row>
    <row r="38" customFormat="false" ht="45.75" hidden="false" customHeight="true" outlineLevel="0" collapsed="false">
      <c r="A38" s="17" t="s">
        <v>10</v>
      </c>
      <c r="B38" s="54" t="s">
        <v>41</v>
      </c>
      <c r="C38" s="54"/>
      <c r="D38" s="54"/>
      <c r="E38" s="54"/>
      <c r="F38" s="54"/>
      <c r="G38" s="54"/>
      <c r="H38" s="54"/>
      <c r="I38" s="273"/>
      <c r="L38" s="57"/>
    </row>
    <row r="39" customFormat="false" ht="15.75" hidden="false" customHeight="true" outlineLevel="0" collapsed="false">
      <c r="A39" s="17" t="s">
        <v>12</v>
      </c>
      <c r="B39" s="58" t="s">
        <v>43</v>
      </c>
      <c r="C39" s="58"/>
      <c r="D39" s="58"/>
      <c r="E39" s="58"/>
      <c r="F39" s="58"/>
      <c r="G39" s="58"/>
      <c r="H39" s="58"/>
      <c r="I39" s="273" t="n">
        <f aca="false">SUM(I38:I38)*0.2</f>
        <v>0</v>
      </c>
      <c r="K39" s="59"/>
    </row>
    <row r="40" customFormat="false" ht="33" hidden="false" customHeight="true" outlineLevel="0" collapsed="false">
      <c r="A40" s="17" t="s">
        <v>14</v>
      </c>
      <c r="B40" s="54" t="s">
        <v>211</v>
      </c>
      <c r="C40" s="54"/>
      <c r="D40" s="54"/>
      <c r="E40" s="54"/>
      <c r="F40" s="54"/>
      <c r="G40" s="54"/>
      <c r="H40" s="54"/>
      <c r="I40" s="337" t="n">
        <f aca="false">ROUND((I31*30*1.2)+(I31*(11/12)*1.2),2)</f>
        <v>220.1</v>
      </c>
      <c r="K40" s="59"/>
    </row>
    <row r="41" customFormat="false" ht="15.75" hidden="false" customHeight="false" outlineLevel="0" collapsed="false">
      <c r="A41" s="60" t="s">
        <v>44</v>
      </c>
      <c r="B41" s="60"/>
      <c r="C41" s="60"/>
      <c r="D41" s="60"/>
      <c r="E41" s="60"/>
      <c r="F41" s="60"/>
      <c r="G41" s="60"/>
      <c r="H41" s="60"/>
      <c r="I41" s="275" t="n">
        <f aca="false">SUM(I37:I39)</f>
        <v>2610.34</v>
      </c>
    </row>
    <row r="42" customFormat="false" ht="15.75" hidden="false" customHeight="false" outlineLevel="0" collapsed="false">
      <c r="A42" s="47" t="s">
        <v>45</v>
      </c>
      <c r="B42" s="47"/>
      <c r="C42" s="47"/>
      <c r="D42" s="47"/>
      <c r="E42" s="47"/>
      <c r="F42" s="47"/>
      <c r="G42" s="47"/>
      <c r="H42" s="47"/>
      <c r="I42" s="47"/>
    </row>
    <row r="43" customFormat="false" ht="15.75" hidden="false" customHeight="false" outlineLevel="0" collapsed="false">
      <c r="A43" s="62" t="n">
        <v>2</v>
      </c>
      <c r="B43" s="63" t="s">
        <v>46</v>
      </c>
      <c r="C43" s="63"/>
      <c r="D43" s="63"/>
      <c r="E43" s="63"/>
      <c r="F43" s="63"/>
      <c r="G43" s="63"/>
      <c r="H43" s="63"/>
      <c r="I43" s="272" t="s">
        <v>35</v>
      </c>
    </row>
    <row r="44" customFormat="false" ht="30" hidden="false" customHeight="true" outlineLevel="0" collapsed="false">
      <c r="A44" s="64" t="s">
        <v>8</v>
      </c>
      <c r="B44" s="54" t="s">
        <v>212</v>
      </c>
      <c r="C44" s="54"/>
      <c r="D44" s="54"/>
      <c r="E44" s="54"/>
      <c r="F44" s="54"/>
      <c r="G44" s="54"/>
      <c r="H44" s="54"/>
      <c r="I44" s="279" t="n">
        <f aca="false">ROUND(((2*H46*H45*15)+(H46*H45*30))-(0.06*(I37+I31*30)),2)</f>
        <v>204.7</v>
      </c>
      <c r="L44" s="66"/>
    </row>
    <row r="45" customFormat="false" ht="31.5" hidden="false" customHeight="true" outlineLevel="0" collapsed="false">
      <c r="A45" s="64"/>
      <c r="B45" s="277" t="s">
        <v>283</v>
      </c>
      <c r="C45" s="277"/>
      <c r="D45" s="277"/>
      <c r="E45" s="277"/>
      <c r="F45" s="277"/>
      <c r="G45" s="277"/>
      <c r="H45" s="278" t="n">
        <f aca="false">Dados!B17</f>
        <v>3.1</v>
      </c>
      <c r="I45" s="279"/>
    </row>
    <row r="46" customFormat="false" ht="15.75" hidden="false" customHeight="false" outlineLevel="0" collapsed="false">
      <c r="A46" s="64"/>
      <c r="B46" s="69" t="s">
        <v>49</v>
      </c>
      <c r="C46" s="69"/>
      <c r="D46" s="69"/>
      <c r="E46" s="69"/>
      <c r="F46" s="69"/>
      <c r="G46" s="69"/>
      <c r="H46" s="70" t="n">
        <v>2</v>
      </c>
      <c r="I46" s="279" t="n">
        <v>0</v>
      </c>
    </row>
    <row r="47" customFormat="false" ht="15.75" hidden="false" customHeight="true" outlineLevel="0" collapsed="false">
      <c r="A47" s="64" t="s">
        <v>10</v>
      </c>
      <c r="B47" s="54" t="s">
        <v>50</v>
      </c>
      <c r="C47" s="54"/>
      <c r="D47" s="54"/>
      <c r="E47" s="54"/>
      <c r="F47" s="54"/>
      <c r="G47" s="54"/>
      <c r="H47" s="54"/>
      <c r="I47" s="279" t="n">
        <f aca="false">ROUND((2*15*H48)*(1-0.18),2)</f>
        <v>411.56</v>
      </c>
    </row>
    <row r="48" customFormat="false" ht="15.75" hidden="false" customHeight="false" outlineLevel="0" collapsed="false">
      <c r="A48" s="64"/>
      <c r="B48" s="69" t="s">
        <v>51</v>
      </c>
      <c r="C48" s="69"/>
      <c r="D48" s="69"/>
      <c r="E48" s="69"/>
      <c r="F48" s="69"/>
      <c r="G48" s="69"/>
      <c r="H48" s="280" t="n">
        <f aca="false">Dados!B3</f>
        <v>16.73</v>
      </c>
      <c r="I48" s="281"/>
    </row>
    <row r="49" customFormat="false" ht="29.25" hidden="false" customHeight="true" outlineLevel="0" collapsed="false">
      <c r="A49" s="17" t="s">
        <v>12</v>
      </c>
      <c r="B49" s="58" t="s">
        <v>286</v>
      </c>
      <c r="C49" s="58"/>
      <c r="D49" s="58"/>
      <c r="E49" s="58"/>
      <c r="F49" s="58"/>
      <c r="G49" s="58"/>
      <c r="H49" s="58"/>
      <c r="I49" s="279" t="n">
        <f aca="false">ROUND(Dados!B5*(2+1),2)</f>
        <v>45.06</v>
      </c>
    </row>
    <row r="50" customFormat="false" ht="15.75" hidden="false" customHeight="false" outlineLevel="0" collapsed="false">
      <c r="A50" s="60" t="s">
        <v>53</v>
      </c>
      <c r="B50" s="60"/>
      <c r="C50" s="60"/>
      <c r="D50" s="60"/>
      <c r="E50" s="60"/>
      <c r="F50" s="60"/>
      <c r="G50" s="60"/>
      <c r="H50" s="60"/>
      <c r="I50" s="275" t="n">
        <f aca="false">SUM(I44:I49)</f>
        <v>661.32</v>
      </c>
    </row>
    <row r="51" customFormat="false" ht="15.75" hidden="false" customHeight="false" outlineLevel="0" collapsed="false">
      <c r="A51" s="73" t="s">
        <v>54</v>
      </c>
      <c r="B51" s="73"/>
      <c r="C51" s="73"/>
      <c r="D51" s="73"/>
      <c r="E51" s="73"/>
      <c r="F51" s="73"/>
      <c r="G51" s="73"/>
      <c r="H51" s="73"/>
      <c r="I51" s="73"/>
    </row>
    <row r="52" customFormat="false" ht="15.75" hidden="false" customHeight="false" outlineLevel="0" collapsed="false">
      <c r="A52" s="47" t="s">
        <v>55</v>
      </c>
      <c r="B52" s="47"/>
      <c r="C52" s="47"/>
      <c r="D52" s="47"/>
      <c r="E52" s="47"/>
      <c r="F52" s="47"/>
      <c r="G52" s="47"/>
      <c r="H52" s="47"/>
      <c r="I52" s="47"/>
    </row>
    <row r="53" customFormat="false" ht="15.75" hidden="false" customHeight="false" outlineLevel="0" collapsed="false">
      <c r="A53" s="62" t="n">
        <v>3</v>
      </c>
      <c r="B53" s="63" t="s">
        <v>56</v>
      </c>
      <c r="C53" s="63"/>
      <c r="D53" s="63"/>
      <c r="E53" s="63"/>
      <c r="F53" s="63"/>
      <c r="G53" s="63"/>
      <c r="H53" s="63"/>
      <c r="I53" s="272" t="s">
        <v>35</v>
      </c>
    </row>
    <row r="54" customFormat="false" ht="15.75" hidden="false" customHeight="false" outlineLevel="0" collapsed="false">
      <c r="A54" s="64" t="s">
        <v>8</v>
      </c>
      <c r="B54" s="74" t="s">
        <v>287</v>
      </c>
      <c r="C54" s="74"/>
      <c r="D54" s="74"/>
      <c r="E54" s="74"/>
      <c r="F54" s="74"/>
      <c r="G54" s="74"/>
      <c r="H54" s="74"/>
      <c r="I54" s="282" t="n">
        <f aca="false">Dados!D6*(2+1)</f>
        <v>206.514375</v>
      </c>
      <c r="J54" s="76"/>
      <c r="K54" s="77"/>
    </row>
    <row r="55" customFormat="false" ht="15.75" hidden="false" customHeight="false" outlineLevel="0" collapsed="false">
      <c r="A55" s="60" t="s">
        <v>58</v>
      </c>
      <c r="B55" s="60"/>
      <c r="C55" s="60"/>
      <c r="D55" s="60"/>
      <c r="E55" s="60"/>
      <c r="F55" s="60"/>
      <c r="G55" s="60"/>
      <c r="H55" s="60"/>
      <c r="I55" s="283" t="n">
        <f aca="false">SUM(I54:I54)</f>
        <v>206.514375</v>
      </c>
    </row>
    <row r="56" customFormat="false" ht="15.75" hidden="false" customHeight="false" outlineLevel="0" collapsed="false">
      <c r="A56" s="47" t="s">
        <v>59</v>
      </c>
      <c r="B56" s="47"/>
      <c r="C56" s="47"/>
      <c r="D56" s="47"/>
      <c r="E56" s="47"/>
      <c r="F56" s="47"/>
      <c r="G56" s="47"/>
      <c r="H56" s="47"/>
      <c r="I56" s="47"/>
    </row>
    <row r="57" customFormat="false" ht="15.75" hidden="false" customHeight="false" outlineLevel="0" collapsed="false">
      <c r="A57" s="79" t="s">
        <v>60</v>
      </c>
      <c r="B57" s="79"/>
      <c r="C57" s="79"/>
      <c r="D57" s="79"/>
      <c r="E57" s="79"/>
      <c r="F57" s="79"/>
      <c r="G57" s="79"/>
      <c r="H57" s="79"/>
      <c r="I57" s="79"/>
    </row>
    <row r="58" customFormat="false" ht="15.75" hidden="false" customHeight="false" outlineLevel="0" collapsed="false">
      <c r="A58" s="62" t="s">
        <v>61</v>
      </c>
      <c r="B58" s="80" t="s">
        <v>62</v>
      </c>
      <c r="C58" s="80"/>
      <c r="D58" s="80"/>
      <c r="E58" s="80"/>
      <c r="F58" s="80"/>
      <c r="G58" s="80"/>
      <c r="H58" s="81" t="s">
        <v>63</v>
      </c>
      <c r="I58" s="272" t="s">
        <v>35</v>
      </c>
    </row>
    <row r="59" customFormat="false" ht="15.75" hidden="false" customHeight="false" outlineLevel="0" collapsed="false">
      <c r="A59" s="82" t="s">
        <v>8</v>
      </c>
      <c r="B59" s="83" t="s">
        <v>64</v>
      </c>
      <c r="C59" s="83"/>
      <c r="D59" s="83"/>
      <c r="E59" s="83"/>
      <c r="F59" s="83"/>
      <c r="G59" s="83"/>
      <c r="H59" s="84" t="n">
        <v>0.2</v>
      </c>
      <c r="I59" s="273" t="n">
        <f aca="false">ROUND($I$41*H59,2)</f>
        <v>522.07</v>
      </c>
      <c r="K59" s="66"/>
    </row>
    <row r="60" customFormat="false" ht="15.75" hidden="false" customHeight="false" outlineLevel="0" collapsed="false">
      <c r="A60" s="82" t="s">
        <v>10</v>
      </c>
      <c r="B60" s="83" t="s">
        <v>65</v>
      </c>
      <c r="C60" s="83"/>
      <c r="D60" s="83"/>
      <c r="E60" s="83"/>
      <c r="F60" s="83"/>
      <c r="G60" s="83"/>
      <c r="H60" s="85" t="n">
        <v>0.015</v>
      </c>
      <c r="I60" s="273" t="n">
        <v>37.43</v>
      </c>
      <c r="K60" s="66"/>
    </row>
    <row r="61" customFormat="false" ht="15.75" hidden="false" customHeight="false" outlineLevel="0" collapsed="false">
      <c r="A61" s="82" t="s">
        <v>12</v>
      </c>
      <c r="B61" s="83" t="s">
        <v>66</v>
      </c>
      <c r="C61" s="83"/>
      <c r="D61" s="83"/>
      <c r="E61" s="83"/>
      <c r="F61" s="83"/>
      <c r="G61" s="83"/>
      <c r="H61" s="84" t="n">
        <v>0.01</v>
      </c>
      <c r="I61" s="273" t="n">
        <f aca="false">ROUND($I$41*H61,2)</f>
        <v>26.1</v>
      </c>
      <c r="K61" s="66"/>
    </row>
    <row r="62" customFormat="false" ht="15.75" hidden="false" customHeight="false" outlineLevel="0" collapsed="false">
      <c r="A62" s="82" t="s">
        <v>14</v>
      </c>
      <c r="B62" s="83" t="s">
        <v>67</v>
      </c>
      <c r="C62" s="83"/>
      <c r="D62" s="83"/>
      <c r="E62" s="83"/>
      <c r="F62" s="83"/>
      <c r="G62" s="83"/>
      <c r="H62" s="86" t="n">
        <v>0.002</v>
      </c>
      <c r="I62" s="273" t="n">
        <f aca="false">ROUND($I$41*H62,2)</f>
        <v>5.22</v>
      </c>
      <c r="K62" s="66"/>
    </row>
    <row r="63" customFormat="false" ht="15.75" hidden="false" customHeight="false" outlineLevel="0" collapsed="false">
      <c r="A63" s="82" t="s">
        <v>40</v>
      </c>
      <c r="B63" s="83" t="s">
        <v>68</v>
      </c>
      <c r="C63" s="83"/>
      <c r="D63" s="83"/>
      <c r="E63" s="83"/>
      <c r="F63" s="83"/>
      <c r="G63" s="83"/>
      <c r="H63" s="86" t="n">
        <v>0.025</v>
      </c>
      <c r="I63" s="273" t="n">
        <f aca="false">ROUND($I$41*H63,2)</f>
        <v>65.26</v>
      </c>
      <c r="K63" s="66"/>
    </row>
    <row r="64" customFormat="false" ht="15.75" hidden="false" customHeight="false" outlineLevel="0" collapsed="false">
      <c r="A64" s="82" t="s">
        <v>42</v>
      </c>
      <c r="B64" s="83" t="s">
        <v>69</v>
      </c>
      <c r="C64" s="83"/>
      <c r="D64" s="83"/>
      <c r="E64" s="83"/>
      <c r="F64" s="83"/>
      <c r="G64" s="83"/>
      <c r="H64" s="84" t="n">
        <v>0.08</v>
      </c>
      <c r="I64" s="273" t="n">
        <f aca="false">ROUND($I$41*H64,2)</f>
        <v>208.83</v>
      </c>
      <c r="K64" s="66"/>
    </row>
    <row r="65" customFormat="false" ht="15.75" hidden="false" customHeight="false" outlineLevel="0" collapsed="false">
      <c r="A65" s="82" t="s">
        <v>70</v>
      </c>
      <c r="B65" s="87" t="s">
        <v>71</v>
      </c>
      <c r="C65" s="87"/>
      <c r="D65" s="87"/>
      <c r="E65" s="87"/>
      <c r="F65" s="88" t="s">
        <v>72</v>
      </c>
      <c r="G65" s="89" t="s">
        <v>196</v>
      </c>
      <c r="H65" s="86" t="n">
        <v>0.015</v>
      </c>
      <c r="I65" s="273" t="n">
        <f aca="false">ROUND($I$41*H65,2)</f>
        <v>39.16</v>
      </c>
      <c r="K65" s="66"/>
    </row>
    <row r="66" customFormat="false" ht="15.75" hidden="false" customHeight="false" outlineLevel="0" collapsed="false">
      <c r="A66" s="82" t="s">
        <v>74</v>
      </c>
      <c r="B66" s="83" t="s">
        <v>75</v>
      </c>
      <c r="C66" s="83"/>
      <c r="D66" s="83"/>
      <c r="E66" s="83"/>
      <c r="F66" s="83"/>
      <c r="G66" s="83"/>
      <c r="H66" s="86" t="n">
        <v>0.006</v>
      </c>
      <c r="I66" s="273" t="n">
        <f aca="false">ROUND($I$41*H66,2)</f>
        <v>15.66</v>
      </c>
      <c r="K66" s="66"/>
    </row>
    <row r="67" customFormat="false" ht="15.75" hidden="false" customHeight="false" outlineLevel="0" collapsed="false">
      <c r="A67" s="90" t="s">
        <v>76</v>
      </c>
      <c r="B67" s="90"/>
      <c r="C67" s="90"/>
      <c r="D67" s="90"/>
      <c r="E67" s="90"/>
      <c r="F67" s="90"/>
      <c r="G67" s="90"/>
      <c r="H67" s="91" t="n">
        <f aca="false">SUM(H59:H66)</f>
        <v>0.353</v>
      </c>
      <c r="I67" s="284" t="n">
        <f aca="false">SUM(I59:I66)</f>
        <v>919.73</v>
      </c>
      <c r="K67" s="66"/>
    </row>
    <row r="68" customFormat="false" ht="15.75" hidden="false" customHeight="false" outlineLevel="0" collapsed="false">
      <c r="A68" s="93" t="s">
        <v>77</v>
      </c>
      <c r="B68" s="93"/>
      <c r="C68" s="93"/>
      <c r="D68" s="93"/>
      <c r="E68" s="93"/>
      <c r="F68" s="93"/>
      <c r="G68" s="93"/>
      <c r="H68" s="93"/>
      <c r="I68" s="93"/>
    </row>
    <row r="69" customFormat="false" ht="15.75" hidden="false" customHeight="false" outlineLevel="0" collapsed="false">
      <c r="A69" s="94" t="s">
        <v>78</v>
      </c>
      <c r="B69" s="94"/>
      <c r="C69" s="94"/>
      <c r="D69" s="94"/>
      <c r="E69" s="94"/>
      <c r="F69" s="94"/>
      <c r="G69" s="94"/>
      <c r="H69" s="94"/>
      <c r="I69" s="94"/>
    </row>
    <row r="70" customFormat="false" ht="15.75" hidden="false" customHeight="false" outlineLevel="0" collapsed="false">
      <c r="A70" s="79" t="s">
        <v>79</v>
      </c>
      <c r="B70" s="79"/>
      <c r="C70" s="79"/>
      <c r="D70" s="79"/>
      <c r="E70" s="79"/>
      <c r="F70" s="79"/>
      <c r="G70" s="79"/>
      <c r="H70" s="79"/>
      <c r="I70" s="79"/>
    </row>
    <row r="71" customFormat="false" ht="15.75" hidden="false" customHeight="false" outlineLevel="0" collapsed="false">
      <c r="A71" s="62" t="s">
        <v>80</v>
      </c>
      <c r="B71" s="81" t="s">
        <v>81</v>
      </c>
      <c r="C71" s="81"/>
      <c r="D71" s="81"/>
      <c r="E71" s="81"/>
      <c r="F71" s="81"/>
      <c r="G71" s="81"/>
      <c r="H71" s="81"/>
      <c r="I71" s="272" t="s">
        <v>35</v>
      </c>
    </row>
    <row r="72" customFormat="false" ht="32.25" hidden="false" customHeight="true" outlineLevel="0" collapsed="false">
      <c r="A72" s="17" t="s">
        <v>8</v>
      </c>
      <c r="B72" s="95" t="s">
        <v>82</v>
      </c>
      <c r="C72" s="95"/>
      <c r="D72" s="95"/>
      <c r="E72" s="95"/>
      <c r="F72" s="95"/>
      <c r="G72" s="95"/>
      <c r="H72" s="95"/>
      <c r="I72" s="285" t="n">
        <f aca="false">ROUND(I41/12,2)</f>
        <v>217.53</v>
      </c>
      <c r="K72" s="66"/>
    </row>
    <row r="73" customFormat="false" ht="15.75" hidden="false" customHeight="false" outlineLevel="0" collapsed="false">
      <c r="A73" s="97" t="s">
        <v>83</v>
      </c>
      <c r="B73" s="97"/>
      <c r="C73" s="97"/>
      <c r="D73" s="97"/>
      <c r="E73" s="97"/>
      <c r="F73" s="97"/>
      <c r="G73" s="97"/>
      <c r="H73" s="97"/>
      <c r="I73" s="273" t="n">
        <f aca="false">SUM(I72:I72)</f>
        <v>217.53</v>
      </c>
      <c r="K73" s="66"/>
    </row>
    <row r="74" customFormat="false" ht="15.75" hidden="false" customHeight="false" outlineLevel="0" collapsed="false">
      <c r="A74" s="17" t="s">
        <v>10</v>
      </c>
      <c r="B74" s="83" t="s">
        <v>84</v>
      </c>
      <c r="C74" s="83"/>
      <c r="D74" s="83"/>
      <c r="E74" s="83"/>
      <c r="F74" s="83"/>
      <c r="G74" s="83"/>
      <c r="H74" s="83"/>
      <c r="I74" s="273" t="n">
        <f aca="false">ROUND(I73*H67,2)</f>
        <v>76.79</v>
      </c>
      <c r="K74" s="66"/>
    </row>
    <row r="75" customFormat="false" ht="15.75" hidden="false" customHeight="false" outlineLevel="0" collapsed="false">
      <c r="A75" s="60" t="s">
        <v>76</v>
      </c>
      <c r="B75" s="60"/>
      <c r="C75" s="60"/>
      <c r="D75" s="60"/>
      <c r="E75" s="60"/>
      <c r="F75" s="60"/>
      <c r="G75" s="60"/>
      <c r="H75" s="60"/>
      <c r="I75" s="275" t="n">
        <f aca="false">SUM(I73:I74)</f>
        <v>294.32</v>
      </c>
      <c r="K75" s="66"/>
    </row>
    <row r="76" customFormat="false" ht="15.75" hidden="false" customHeight="false" outlineLevel="0" collapsed="false">
      <c r="A76" s="79" t="s">
        <v>85</v>
      </c>
      <c r="B76" s="79"/>
      <c r="C76" s="79"/>
      <c r="D76" s="79"/>
      <c r="E76" s="79"/>
      <c r="F76" s="79"/>
      <c r="G76" s="79"/>
      <c r="H76" s="79"/>
      <c r="I76" s="79"/>
    </row>
    <row r="77" customFormat="false" ht="15.75" hidden="false" customHeight="false" outlineLevel="0" collapsed="false">
      <c r="A77" s="62" t="s">
        <v>86</v>
      </c>
      <c r="B77" s="81" t="s">
        <v>87</v>
      </c>
      <c r="C77" s="81"/>
      <c r="D77" s="81"/>
      <c r="E77" s="81"/>
      <c r="F77" s="81"/>
      <c r="G77" s="81"/>
      <c r="H77" s="81"/>
      <c r="I77" s="272" t="s">
        <v>35</v>
      </c>
    </row>
    <row r="78" customFormat="false" ht="15.75" hidden="false" customHeight="false" outlineLevel="0" collapsed="false">
      <c r="A78" s="17" t="s">
        <v>8</v>
      </c>
      <c r="B78" s="52" t="s">
        <v>88</v>
      </c>
      <c r="C78" s="52"/>
      <c r="D78" s="52"/>
      <c r="E78" s="52"/>
      <c r="F78" s="52"/>
      <c r="G78" s="52"/>
      <c r="H78" s="52"/>
      <c r="I78" s="282" t="n">
        <f aca="false">ROUND((((I41+I41/3)*(4/12))/12)*0.02,2)</f>
        <v>1.93</v>
      </c>
    </row>
    <row r="79" customFormat="false" ht="15.75" hidden="false" customHeight="false" outlineLevel="0" collapsed="false">
      <c r="A79" s="17" t="s">
        <v>10</v>
      </c>
      <c r="B79" s="83" t="s">
        <v>89</v>
      </c>
      <c r="C79" s="83"/>
      <c r="D79" s="83"/>
      <c r="E79" s="83"/>
      <c r="F79" s="83"/>
      <c r="G79" s="83"/>
      <c r="H79" s="83"/>
      <c r="I79" s="282" t="n">
        <f aca="false">ROUND(I78*H67,2)</f>
        <v>0.68</v>
      </c>
    </row>
    <row r="80" customFormat="false" ht="15.75" hidden="false" customHeight="false" outlineLevel="0" collapsed="false">
      <c r="A80" s="60" t="s">
        <v>76</v>
      </c>
      <c r="B80" s="60"/>
      <c r="C80" s="60"/>
      <c r="D80" s="60"/>
      <c r="E80" s="60"/>
      <c r="F80" s="60"/>
      <c r="G80" s="60"/>
      <c r="H80" s="60"/>
      <c r="I80" s="275" t="n">
        <f aca="false">SUM(I78:I79)</f>
        <v>2.61</v>
      </c>
    </row>
    <row r="81" customFormat="false" ht="15.75" hidden="false" customHeight="false" outlineLevel="0" collapsed="false">
      <c r="A81" s="79" t="s">
        <v>90</v>
      </c>
      <c r="B81" s="79"/>
      <c r="C81" s="79"/>
      <c r="D81" s="79"/>
      <c r="E81" s="79"/>
      <c r="F81" s="79"/>
      <c r="G81" s="79"/>
      <c r="H81" s="79"/>
      <c r="I81" s="79"/>
    </row>
    <row r="82" customFormat="false" ht="15.75" hidden="false" customHeight="false" outlineLevel="0" collapsed="false">
      <c r="A82" s="62" t="s">
        <v>91</v>
      </c>
      <c r="B82" s="81" t="s">
        <v>92</v>
      </c>
      <c r="C82" s="81"/>
      <c r="D82" s="81"/>
      <c r="E82" s="81"/>
      <c r="F82" s="81"/>
      <c r="G82" s="81"/>
      <c r="H82" s="81"/>
      <c r="I82" s="272" t="s">
        <v>35</v>
      </c>
    </row>
    <row r="83" customFormat="false" ht="25.5" hidden="false" customHeight="true" outlineLevel="0" collapsed="false">
      <c r="A83" s="17" t="s">
        <v>8</v>
      </c>
      <c r="B83" s="99" t="s">
        <v>93</v>
      </c>
      <c r="C83" s="99"/>
      <c r="D83" s="99"/>
      <c r="E83" s="99"/>
      <c r="F83" s="99"/>
      <c r="G83" s="99"/>
      <c r="H83" s="99"/>
      <c r="I83" s="273" t="n">
        <f aca="false">ROUND((I41/12)*(30/30)*0.05,2)</f>
        <v>10.88</v>
      </c>
    </row>
    <row r="84" customFormat="false" ht="15.75" hidden="false" customHeight="true" outlineLevel="0" collapsed="false">
      <c r="A84" s="17" t="s">
        <v>10</v>
      </c>
      <c r="B84" s="83" t="s">
        <v>94</v>
      </c>
      <c r="C84" s="83"/>
      <c r="D84" s="83"/>
      <c r="E84" s="83"/>
      <c r="F84" s="83"/>
      <c r="G84" s="83"/>
      <c r="H84" s="83"/>
      <c r="I84" s="273" t="n">
        <f aca="false">ROUND(I83*H64,2)</f>
        <v>0.87</v>
      </c>
    </row>
    <row r="85" customFormat="false" ht="49.5" hidden="false" customHeight="true" outlineLevel="0" collapsed="false">
      <c r="A85" s="17" t="s">
        <v>12</v>
      </c>
      <c r="B85" s="95" t="s">
        <v>95</v>
      </c>
      <c r="C85" s="95"/>
      <c r="D85" s="95"/>
      <c r="E85" s="95"/>
      <c r="F85" s="95"/>
      <c r="G85" s="95"/>
      <c r="H85" s="95"/>
      <c r="I85" s="285" t="n">
        <f aca="false">ROUND(0.0024*I41,2)</f>
        <v>6.26</v>
      </c>
      <c r="K85" s="66"/>
    </row>
    <row r="86" customFormat="false" ht="30.75" hidden="false" customHeight="true" outlineLevel="0" collapsed="false">
      <c r="A86" s="100" t="s">
        <v>14</v>
      </c>
      <c r="B86" s="99" t="s">
        <v>96</v>
      </c>
      <c r="C86" s="99"/>
      <c r="D86" s="99"/>
      <c r="E86" s="99"/>
      <c r="F86" s="99"/>
      <c r="G86" s="99"/>
      <c r="H86" s="99"/>
      <c r="I86" s="273" t="n">
        <v>0</v>
      </c>
      <c r="N86" s="101"/>
    </row>
    <row r="87" customFormat="false" ht="18" hidden="false" customHeight="true" outlineLevel="0" collapsed="false">
      <c r="A87" s="17" t="s">
        <v>40</v>
      </c>
      <c r="B87" s="83" t="s">
        <v>97</v>
      </c>
      <c r="C87" s="83"/>
      <c r="D87" s="83"/>
      <c r="E87" s="83"/>
      <c r="F87" s="83"/>
      <c r="G87" s="83"/>
      <c r="H87" s="83"/>
      <c r="I87" s="273" t="n">
        <f aca="false">ROUND(I86*H67,2)</f>
        <v>0</v>
      </c>
      <c r="J87" s="13"/>
      <c r="K87" s="13"/>
      <c r="L87" s="102"/>
    </row>
    <row r="88" customFormat="false" ht="48.75" hidden="false" customHeight="true" outlineLevel="0" collapsed="false">
      <c r="A88" s="17" t="s">
        <v>42</v>
      </c>
      <c r="B88" s="95" t="s">
        <v>288</v>
      </c>
      <c r="C88" s="95"/>
      <c r="D88" s="95"/>
      <c r="E88" s="95"/>
      <c r="F88" s="95"/>
      <c r="G88" s="95"/>
      <c r="H88" s="95"/>
      <c r="I88" s="285" t="n">
        <f aca="false">ROUND(0.0476*I41,2)</f>
        <v>124.25</v>
      </c>
      <c r="J88" s="13"/>
      <c r="K88" s="66"/>
      <c r="L88" s="13"/>
    </row>
    <row r="89" customFormat="false" ht="20.25" hidden="false" customHeight="true" outlineLevel="0" collapsed="false">
      <c r="A89" s="60" t="s">
        <v>76</v>
      </c>
      <c r="B89" s="60"/>
      <c r="C89" s="60"/>
      <c r="D89" s="60"/>
      <c r="E89" s="60"/>
      <c r="F89" s="60"/>
      <c r="G89" s="60"/>
      <c r="H89" s="60"/>
      <c r="I89" s="275" t="n">
        <f aca="false">SUM(I83:I88)</f>
        <v>142.26</v>
      </c>
    </row>
    <row r="90" customFormat="false" ht="20.25" hidden="false" customHeight="true" outlineLevel="0" collapsed="false">
      <c r="A90" s="79" t="s">
        <v>99</v>
      </c>
      <c r="B90" s="79"/>
      <c r="C90" s="79"/>
      <c r="D90" s="79"/>
      <c r="E90" s="79"/>
      <c r="F90" s="79"/>
      <c r="G90" s="79"/>
      <c r="H90" s="79"/>
      <c r="I90" s="79"/>
    </row>
    <row r="91" customFormat="false" ht="15.75" hidden="false" customHeight="false" outlineLevel="0" collapsed="false">
      <c r="A91" s="62" t="s">
        <v>100</v>
      </c>
      <c r="B91" s="81" t="s">
        <v>101</v>
      </c>
      <c r="C91" s="81"/>
      <c r="D91" s="81"/>
      <c r="E91" s="81"/>
      <c r="F91" s="81"/>
      <c r="G91" s="81"/>
      <c r="H91" s="81"/>
      <c r="I91" s="272" t="s">
        <v>35</v>
      </c>
    </row>
    <row r="92" customFormat="false" ht="49.5" hidden="false" customHeight="true" outlineLevel="0" collapsed="false">
      <c r="A92" s="17" t="s">
        <v>8</v>
      </c>
      <c r="B92" s="95" t="s">
        <v>102</v>
      </c>
      <c r="C92" s="95"/>
      <c r="D92" s="95"/>
      <c r="E92" s="95"/>
      <c r="F92" s="95"/>
      <c r="G92" s="95"/>
      <c r="H92" s="95"/>
      <c r="I92" s="285" t="n">
        <f aca="false">ROUND(0.121*I41,2)</f>
        <v>315.85</v>
      </c>
      <c r="K92" s="66"/>
    </row>
    <row r="93" customFormat="false" ht="17.25" hidden="false" customHeight="true" outlineLevel="0" collapsed="false">
      <c r="A93" s="17" t="s">
        <v>10</v>
      </c>
      <c r="B93" s="52" t="s">
        <v>103</v>
      </c>
      <c r="C93" s="52"/>
      <c r="D93" s="52"/>
      <c r="E93" s="52"/>
      <c r="F93" s="52"/>
      <c r="G93" s="52"/>
      <c r="H93" s="52"/>
      <c r="I93" s="273" t="n">
        <f aca="false">ROUND(((I41/30)*5)/12,2)</f>
        <v>36.25</v>
      </c>
    </row>
    <row r="94" customFormat="false" ht="16.5" hidden="false" customHeight="true" outlineLevel="0" collapsed="false">
      <c r="A94" s="17" t="s">
        <v>12</v>
      </c>
      <c r="B94" s="52" t="s">
        <v>104</v>
      </c>
      <c r="C94" s="52"/>
      <c r="D94" s="52"/>
      <c r="E94" s="52"/>
      <c r="F94" s="52"/>
      <c r="G94" s="52"/>
      <c r="H94" s="52"/>
      <c r="I94" s="273" t="n">
        <f aca="false">ROUND((((I41/30)*5)/12)*0.015,2)</f>
        <v>0.54</v>
      </c>
    </row>
    <row r="95" customFormat="false" ht="17.25" hidden="false" customHeight="true" outlineLevel="0" collapsed="false">
      <c r="A95" s="17" t="s">
        <v>14</v>
      </c>
      <c r="B95" s="52" t="s">
        <v>105</v>
      </c>
      <c r="C95" s="52"/>
      <c r="D95" s="52"/>
      <c r="E95" s="52"/>
      <c r="F95" s="52"/>
      <c r="G95" s="52"/>
      <c r="H95" s="52"/>
      <c r="I95" s="273" t="n">
        <f aca="false">ROUND(((I41/30)*2.96)/12,2)</f>
        <v>21.46</v>
      </c>
    </row>
    <row r="96" customFormat="false" ht="16.5" hidden="false" customHeight="true" outlineLevel="0" collapsed="false">
      <c r="A96" s="17" t="s">
        <v>40</v>
      </c>
      <c r="B96" s="52" t="s">
        <v>106</v>
      </c>
      <c r="C96" s="52"/>
      <c r="D96" s="52"/>
      <c r="E96" s="52"/>
      <c r="F96" s="52"/>
      <c r="G96" s="52"/>
      <c r="H96" s="52"/>
      <c r="I96" s="273" t="n">
        <f aca="false">ROUND((((I41/30)*15)/12)*0.0078,2)</f>
        <v>0.85</v>
      </c>
    </row>
    <row r="97" customFormat="false" ht="15.75" hidden="false" customHeight="false" outlineLevel="0" collapsed="false">
      <c r="A97" s="97" t="s">
        <v>83</v>
      </c>
      <c r="B97" s="97"/>
      <c r="C97" s="97"/>
      <c r="D97" s="97"/>
      <c r="E97" s="97"/>
      <c r="F97" s="97"/>
      <c r="G97" s="97"/>
      <c r="H97" s="97"/>
      <c r="I97" s="281" t="n">
        <f aca="false">SUM(I92:I96)</f>
        <v>374.95</v>
      </c>
      <c r="K97" s="66"/>
    </row>
    <row r="98" customFormat="false" ht="15.75" hidden="false" customHeight="false" outlineLevel="0" collapsed="false">
      <c r="A98" s="17" t="s">
        <v>70</v>
      </c>
      <c r="B98" s="83" t="s">
        <v>107</v>
      </c>
      <c r="C98" s="83"/>
      <c r="D98" s="83"/>
      <c r="E98" s="83"/>
      <c r="F98" s="83"/>
      <c r="G98" s="83"/>
      <c r="H98" s="83"/>
      <c r="I98" s="286" t="n">
        <f aca="false">ROUND(I97*H67,2)</f>
        <v>132.36</v>
      </c>
      <c r="K98" s="66"/>
    </row>
    <row r="99" customFormat="false" ht="15.75" hidden="false" customHeight="false" outlineLevel="0" collapsed="false">
      <c r="A99" s="60" t="s">
        <v>76</v>
      </c>
      <c r="B99" s="60"/>
      <c r="C99" s="60"/>
      <c r="D99" s="60"/>
      <c r="E99" s="60"/>
      <c r="F99" s="60"/>
      <c r="G99" s="60"/>
      <c r="H99" s="60"/>
      <c r="I99" s="275" t="n">
        <f aca="false">SUM(I97+I98)</f>
        <v>507.31</v>
      </c>
      <c r="K99" s="66"/>
    </row>
    <row r="100" customFormat="false" ht="15.75" hidden="false" customHeight="false" outlineLevel="0" collapsed="false">
      <c r="A100" s="104" t="s">
        <v>108</v>
      </c>
      <c r="B100" s="104"/>
      <c r="C100" s="104"/>
      <c r="D100" s="104"/>
      <c r="E100" s="104"/>
      <c r="F100" s="104"/>
      <c r="G100" s="104"/>
      <c r="H100" s="104"/>
      <c r="I100" s="104"/>
    </row>
    <row r="101" customFormat="false" ht="15.75" hidden="false" customHeight="false" outlineLevel="0" collapsed="false">
      <c r="A101" s="62" t="n">
        <v>4</v>
      </c>
      <c r="B101" s="81" t="s">
        <v>109</v>
      </c>
      <c r="C101" s="81"/>
      <c r="D101" s="81"/>
      <c r="E101" s="81"/>
      <c r="F101" s="81"/>
      <c r="G101" s="81"/>
      <c r="H101" s="81"/>
      <c r="I101" s="272" t="s">
        <v>35</v>
      </c>
    </row>
    <row r="102" customFormat="false" ht="15.75" hidden="false" customHeight="false" outlineLevel="0" collapsed="false">
      <c r="A102" s="17" t="s">
        <v>61</v>
      </c>
      <c r="B102" s="83" t="s">
        <v>62</v>
      </c>
      <c r="C102" s="83"/>
      <c r="D102" s="83"/>
      <c r="E102" s="83"/>
      <c r="F102" s="83"/>
      <c r="G102" s="83"/>
      <c r="H102" s="83"/>
      <c r="I102" s="282" t="n">
        <f aca="false">I67</f>
        <v>919.73</v>
      </c>
    </row>
    <row r="103" customFormat="false" ht="15.75" hidden="false" customHeight="false" outlineLevel="0" collapsed="false">
      <c r="A103" s="17" t="s">
        <v>80</v>
      </c>
      <c r="B103" s="83" t="s">
        <v>110</v>
      </c>
      <c r="C103" s="83"/>
      <c r="D103" s="83"/>
      <c r="E103" s="83"/>
      <c r="F103" s="83"/>
      <c r="G103" s="83"/>
      <c r="H103" s="83"/>
      <c r="I103" s="282" t="n">
        <f aca="false">I75</f>
        <v>294.32</v>
      </c>
    </row>
    <row r="104" customFormat="false" ht="15.75" hidden="false" customHeight="false" outlineLevel="0" collapsed="false">
      <c r="A104" s="17" t="s">
        <v>86</v>
      </c>
      <c r="B104" s="83" t="s">
        <v>87</v>
      </c>
      <c r="C104" s="83"/>
      <c r="D104" s="83"/>
      <c r="E104" s="83"/>
      <c r="F104" s="83"/>
      <c r="G104" s="83"/>
      <c r="H104" s="83"/>
      <c r="I104" s="282" t="n">
        <f aca="false">I80</f>
        <v>2.61</v>
      </c>
    </row>
    <row r="105" customFormat="false" ht="15.75" hidden="false" customHeight="false" outlineLevel="0" collapsed="false">
      <c r="A105" s="17" t="s">
        <v>91</v>
      </c>
      <c r="B105" s="83" t="s">
        <v>111</v>
      </c>
      <c r="C105" s="83"/>
      <c r="D105" s="83"/>
      <c r="E105" s="83"/>
      <c r="F105" s="83"/>
      <c r="G105" s="83"/>
      <c r="H105" s="83"/>
      <c r="I105" s="282" t="n">
        <f aca="false">I89</f>
        <v>142.26</v>
      </c>
    </row>
    <row r="106" customFormat="false" ht="15.75" hidden="false" customHeight="false" outlineLevel="0" collapsed="false">
      <c r="A106" s="17" t="s">
        <v>100</v>
      </c>
      <c r="B106" s="83" t="s">
        <v>112</v>
      </c>
      <c r="C106" s="83"/>
      <c r="D106" s="83"/>
      <c r="E106" s="83"/>
      <c r="F106" s="83"/>
      <c r="G106" s="83"/>
      <c r="H106" s="83"/>
      <c r="I106" s="282" t="n">
        <f aca="false">I99</f>
        <v>507.31</v>
      </c>
    </row>
    <row r="107" customFormat="false" ht="15.75" hidden="false" customHeight="false" outlineLevel="0" collapsed="false">
      <c r="A107" s="60" t="s">
        <v>76</v>
      </c>
      <c r="B107" s="60"/>
      <c r="C107" s="60"/>
      <c r="D107" s="60"/>
      <c r="E107" s="60"/>
      <c r="F107" s="60"/>
      <c r="G107" s="60"/>
      <c r="H107" s="60"/>
      <c r="I107" s="275" t="n">
        <f aca="false">SUM(I102:I106)</f>
        <v>1866.23</v>
      </c>
      <c r="K107" s="106"/>
    </row>
    <row r="108" customFormat="false" ht="16.5" hidden="false" customHeight="true" outlineLevel="0" collapsed="false">
      <c r="A108" s="107" t="s">
        <v>113</v>
      </c>
      <c r="B108" s="107"/>
      <c r="C108" s="107"/>
      <c r="D108" s="107"/>
      <c r="E108" s="107"/>
      <c r="F108" s="107"/>
      <c r="G108" s="107"/>
      <c r="H108" s="107"/>
      <c r="I108" s="107"/>
    </row>
    <row r="109" customFormat="false" ht="15.75" hidden="false" customHeight="false" outlineLevel="0" collapsed="false">
      <c r="A109" s="62" t="n">
        <v>5</v>
      </c>
      <c r="B109" s="63" t="s">
        <v>114</v>
      </c>
      <c r="C109" s="63"/>
      <c r="D109" s="63"/>
      <c r="E109" s="63"/>
      <c r="F109" s="63"/>
      <c r="G109" s="63"/>
      <c r="H109" s="108" t="s">
        <v>63</v>
      </c>
      <c r="I109" s="272" t="s">
        <v>35</v>
      </c>
    </row>
    <row r="110" customFormat="false" ht="49.5" hidden="false" customHeight="true" outlineLevel="0" collapsed="false">
      <c r="A110" s="109" t="s">
        <v>115</v>
      </c>
      <c r="B110" s="109"/>
      <c r="C110" s="109"/>
      <c r="D110" s="109"/>
      <c r="E110" s="109"/>
      <c r="F110" s="109"/>
      <c r="G110" s="109"/>
      <c r="H110" s="110" t="n">
        <v>0</v>
      </c>
      <c r="I110" s="287" t="n">
        <f aca="false">(I41+I50+I55+I107)</f>
        <v>5344.404375</v>
      </c>
    </row>
    <row r="111" customFormat="false" ht="15.75" hidden="false" customHeight="false" outlineLevel="0" collapsed="false">
      <c r="A111" s="17" t="s">
        <v>8</v>
      </c>
      <c r="B111" s="83" t="s">
        <v>116</v>
      </c>
      <c r="C111" s="83"/>
      <c r="D111" s="83"/>
      <c r="E111" s="83"/>
      <c r="F111" s="83"/>
      <c r="G111" s="83"/>
      <c r="H111" s="112" t="n">
        <f aca="false">'São Borja 8.1'!H112</f>
        <v>0.1207</v>
      </c>
      <c r="I111" s="273" t="n">
        <f aca="false">ROUND(I110*H111,2)</f>
        <v>645.07</v>
      </c>
      <c r="J111" s="113"/>
    </row>
    <row r="112" customFormat="false" ht="45" hidden="false" customHeight="true" outlineLevel="0" collapsed="false">
      <c r="A112" s="109" t="s">
        <v>117</v>
      </c>
      <c r="B112" s="109"/>
      <c r="C112" s="109"/>
      <c r="D112" s="109"/>
      <c r="E112" s="109"/>
      <c r="F112" s="109"/>
      <c r="G112" s="109"/>
      <c r="H112" s="114" t="n">
        <v>0</v>
      </c>
      <c r="I112" s="288" t="n">
        <f aca="false">I110+I111</f>
        <v>5989.474375</v>
      </c>
      <c r="J112" s="113"/>
    </row>
    <row r="113" customFormat="false" ht="15.75" hidden="false" customHeight="false" outlineLevel="0" collapsed="false">
      <c r="A113" s="17" t="s">
        <v>10</v>
      </c>
      <c r="B113" s="83" t="s">
        <v>118</v>
      </c>
      <c r="C113" s="83"/>
      <c r="D113" s="83"/>
      <c r="E113" s="83"/>
      <c r="F113" s="83"/>
      <c r="G113" s="83"/>
      <c r="H113" s="112" t="n">
        <f aca="false">'São Borja 8.1'!H114</f>
        <v>0.0818</v>
      </c>
      <c r="I113" s="273" t="n">
        <f aca="false">ROUND(I112*H113,2)</f>
        <v>489.94</v>
      </c>
      <c r="J113" s="116"/>
    </row>
    <row r="114" customFormat="false" ht="46.5" hidden="false" customHeight="true" outlineLevel="0" collapsed="false">
      <c r="A114" s="109" t="s">
        <v>119</v>
      </c>
      <c r="B114" s="109"/>
      <c r="C114" s="109"/>
      <c r="D114" s="109"/>
      <c r="E114" s="109"/>
      <c r="F114" s="109"/>
      <c r="G114" s="109"/>
      <c r="H114" s="117" t="n">
        <v>0</v>
      </c>
      <c r="I114" s="289" t="n">
        <f aca="false">I112+I113</f>
        <v>6479.414375</v>
      </c>
      <c r="J114" s="116"/>
    </row>
    <row r="115" customFormat="false" ht="15.75" hidden="false" customHeight="false" outlineLevel="0" collapsed="false">
      <c r="A115" s="17" t="s">
        <v>12</v>
      </c>
      <c r="B115" s="83" t="s">
        <v>120</v>
      </c>
      <c r="C115" s="83"/>
      <c r="D115" s="83"/>
      <c r="E115" s="83"/>
      <c r="F115" s="83"/>
      <c r="G115" s="83"/>
      <c r="H115" s="119" t="s">
        <v>198</v>
      </c>
      <c r="I115" s="290" t="s">
        <v>198</v>
      </c>
      <c r="J115" s="116"/>
    </row>
    <row r="116" customFormat="false" ht="15.75" hidden="false" customHeight="false" outlineLevel="0" collapsed="false">
      <c r="A116" s="17"/>
      <c r="B116" s="83" t="s">
        <v>121</v>
      </c>
      <c r="C116" s="83"/>
      <c r="D116" s="83"/>
      <c r="E116" s="83"/>
      <c r="F116" s="83"/>
      <c r="G116" s="83"/>
      <c r="H116" s="119" t="s">
        <v>198</v>
      </c>
      <c r="I116" s="290" t="s">
        <v>198</v>
      </c>
    </row>
    <row r="117" customFormat="false" ht="35.25" hidden="false" customHeight="true" outlineLevel="0" collapsed="false">
      <c r="A117" s="17"/>
      <c r="B117" s="67" t="s">
        <v>199</v>
      </c>
      <c r="C117" s="67"/>
      <c r="D117" s="67"/>
      <c r="E117" s="67"/>
      <c r="F117" s="67"/>
      <c r="G117" s="67"/>
      <c r="H117" s="121" t="n">
        <v>0.03</v>
      </c>
      <c r="I117" s="273" t="n">
        <f aca="false">ROUND(($I$114/(1-H124))*H117,2)</f>
        <v>208.23</v>
      </c>
    </row>
    <row r="118" customFormat="false" ht="25.5" hidden="false" customHeight="true" outlineLevel="0" collapsed="false">
      <c r="A118" s="17"/>
      <c r="B118" s="67" t="s">
        <v>200</v>
      </c>
      <c r="C118" s="67"/>
      <c r="D118" s="67"/>
      <c r="E118" s="67"/>
      <c r="F118" s="67"/>
      <c r="G118" s="67"/>
      <c r="H118" s="121" t="n">
        <v>0.0065</v>
      </c>
      <c r="I118" s="273" t="n">
        <f aca="false">ROUND(($I$114/(1-H124))*H118,2)</f>
        <v>45.12</v>
      </c>
      <c r="K118" s="66"/>
    </row>
    <row r="119" customFormat="false" ht="32.25" hidden="false" customHeight="true" outlineLevel="0" collapsed="false">
      <c r="A119" s="17"/>
      <c r="B119" s="122" t="s">
        <v>124</v>
      </c>
      <c r="C119" s="122"/>
      <c r="D119" s="122"/>
      <c r="E119" s="122"/>
      <c r="F119" s="122"/>
      <c r="G119" s="122"/>
      <c r="H119" s="121" t="s">
        <v>198</v>
      </c>
      <c r="I119" s="290" t="s">
        <v>198</v>
      </c>
      <c r="K119" s="66"/>
    </row>
    <row r="120" customFormat="false" ht="15.75" hidden="false" customHeight="false" outlineLevel="0" collapsed="false">
      <c r="A120" s="17"/>
      <c r="B120" s="83" t="s">
        <v>125</v>
      </c>
      <c r="C120" s="83"/>
      <c r="D120" s="83"/>
      <c r="E120" s="83"/>
      <c r="F120" s="83"/>
      <c r="G120" s="83"/>
      <c r="H120" s="119" t="s">
        <v>198</v>
      </c>
      <c r="I120" s="290" t="s">
        <v>198</v>
      </c>
    </row>
    <row r="121" customFormat="false" ht="15.75" hidden="false" customHeight="false" outlineLevel="0" collapsed="false">
      <c r="A121" s="17"/>
      <c r="B121" s="83" t="s">
        <v>126</v>
      </c>
      <c r="C121" s="83"/>
      <c r="D121" s="83"/>
      <c r="E121" s="83"/>
      <c r="F121" s="83"/>
      <c r="G121" s="83"/>
      <c r="H121" s="119" t="s">
        <v>198</v>
      </c>
      <c r="I121" s="290" t="s">
        <v>198</v>
      </c>
      <c r="K121" s="66"/>
    </row>
    <row r="122" customFormat="false" ht="15.75" hidden="false" customHeight="false" outlineLevel="0" collapsed="false">
      <c r="A122" s="17"/>
      <c r="B122" s="52" t="s">
        <v>289</v>
      </c>
      <c r="C122" s="52"/>
      <c r="D122" s="52"/>
      <c r="E122" s="52"/>
      <c r="F122" s="52"/>
      <c r="G122" s="52"/>
      <c r="H122" s="124" t="n">
        <v>0.03</v>
      </c>
      <c r="I122" s="273" t="n">
        <f aca="false">ROUND(($I$114/(1-H124))*H122,2)</f>
        <v>208.23</v>
      </c>
    </row>
    <row r="123" customFormat="false" ht="15.75" hidden="false" customHeight="false" outlineLevel="0" collapsed="false">
      <c r="A123" s="125" t="s">
        <v>76</v>
      </c>
      <c r="B123" s="125"/>
      <c r="C123" s="125"/>
      <c r="D123" s="125"/>
      <c r="E123" s="125"/>
      <c r="F123" s="125"/>
      <c r="G123" s="125"/>
      <c r="H123" s="125"/>
      <c r="I123" s="291" t="n">
        <f aca="false">I111+I113+I117+I118+I122</f>
        <v>1596.59</v>
      </c>
    </row>
    <row r="124" customFormat="false" ht="15.75" hidden="false" customHeight="false" outlineLevel="0" collapsed="false">
      <c r="A124" s="127" t="s">
        <v>128</v>
      </c>
      <c r="B124" s="127"/>
      <c r="C124" s="127"/>
      <c r="D124" s="127"/>
      <c r="E124" s="127"/>
      <c r="F124" s="127"/>
      <c r="G124" s="127"/>
      <c r="H124" s="128" t="n">
        <f aca="false">SUM(H117:H122)</f>
        <v>0.0665</v>
      </c>
      <c r="I124" s="292" t="n">
        <f aca="false">SUM(I117+I118+I122)</f>
        <v>461.58</v>
      </c>
    </row>
    <row r="125" customFormat="false" ht="15.75" hidden="false" customHeight="false" outlineLevel="0" collapsed="false">
      <c r="A125" s="130" t="s">
        <v>129</v>
      </c>
      <c r="B125" s="130"/>
      <c r="C125" s="293" t="s">
        <v>130</v>
      </c>
      <c r="D125" s="293"/>
      <c r="E125" s="293"/>
      <c r="F125" s="293"/>
      <c r="G125" s="293"/>
      <c r="H125" s="293"/>
      <c r="I125" s="293"/>
    </row>
    <row r="126" customFormat="false" ht="15" hidden="false" customHeight="false" outlineLevel="0" collapsed="false">
      <c r="A126" s="130"/>
      <c r="B126" s="130"/>
      <c r="C126" s="294" t="s">
        <v>131</v>
      </c>
      <c r="D126" s="294"/>
      <c r="E126" s="294"/>
      <c r="F126" s="294"/>
      <c r="G126" s="294"/>
      <c r="H126" s="294"/>
      <c r="I126" s="294"/>
    </row>
    <row r="127" customFormat="false" ht="15.75" hidden="false" customHeight="false" outlineLevel="0" collapsed="false">
      <c r="A127" s="133" t="s">
        <v>132</v>
      </c>
      <c r="B127" s="133"/>
      <c r="C127" s="133"/>
      <c r="D127" s="133"/>
      <c r="E127" s="133"/>
      <c r="F127" s="133"/>
      <c r="G127" s="133"/>
      <c r="H127" s="133"/>
      <c r="I127" s="133"/>
    </row>
    <row r="128" customFormat="false" ht="15.75" hidden="false" customHeight="false" outlineLevel="0" collapsed="false">
      <c r="A128" s="94" t="s">
        <v>133</v>
      </c>
      <c r="B128" s="94"/>
      <c r="C128" s="94"/>
      <c r="D128" s="94"/>
      <c r="E128" s="94"/>
      <c r="F128" s="94"/>
      <c r="G128" s="94"/>
      <c r="H128" s="94"/>
      <c r="I128" s="94"/>
    </row>
    <row r="129" customFormat="false" ht="15.75" hidden="false" customHeight="false" outlineLevel="0" collapsed="false">
      <c r="A129" s="295"/>
      <c r="B129" s="295"/>
      <c r="C129" s="295"/>
      <c r="D129" s="295"/>
      <c r="E129" s="295"/>
      <c r="F129" s="295"/>
      <c r="G129" s="295"/>
      <c r="H129" s="295"/>
      <c r="I129" s="295"/>
    </row>
    <row r="130" customFormat="false" ht="15.75" hidden="false" customHeight="false" outlineLevel="0" collapsed="false">
      <c r="A130" s="33" t="s">
        <v>134</v>
      </c>
      <c r="B130" s="33"/>
      <c r="C130" s="33"/>
      <c r="D130" s="33"/>
      <c r="E130" s="33"/>
      <c r="F130" s="33"/>
      <c r="G130" s="33"/>
      <c r="H130" s="33"/>
      <c r="I130" s="33"/>
    </row>
    <row r="131" customFormat="false" ht="15.75" hidden="false" customHeight="false" outlineLevel="0" collapsed="false">
      <c r="A131" s="135" t="s">
        <v>135</v>
      </c>
      <c r="B131" s="135"/>
      <c r="C131" s="135"/>
      <c r="D131" s="135"/>
      <c r="E131" s="135"/>
      <c r="F131" s="135"/>
      <c r="G131" s="135"/>
      <c r="H131" s="135"/>
      <c r="I131" s="135"/>
    </row>
    <row r="132" customFormat="false" ht="15.75" hidden="false" customHeight="false" outlineLevel="0" collapsed="false">
      <c r="A132" s="136" t="s">
        <v>136</v>
      </c>
      <c r="B132" s="136"/>
      <c r="C132" s="136"/>
      <c r="D132" s="136"/>
      <c r="E132" s="136"/>
      <c r="F132" s="136"/>
      <c r="G132" s="136"/>
      <c r="H132" s="136"/>
      <c r="I132" s="296" t="s">
        <v>35</v>
      </c>
    </row>
    <row r="133" customFormat="false" ht="15.75" hidden="false" customHeight="false" outlineLevel="0" collapsed="false">
      <c r="A133" s="14" t="s">
        <v>8</v>
      </c>
      <c r="B133" s="15" t="s">
        <v>137</v>
      </c>
      <c r="C133" s="15"/>
      <c r="D133" s="15"/>
      <c r="E133" s="15"/>
      <c r="F133" s="15"/>
      <c r="G133" s="15"/>
      <c r="H133" s="15"/>
      <c r="I133" s="297" t="n">
        <f aca="false">I41</f>
        <v>2610.34</v>
      </c>
    </row>
    <row r="134" customFormat="false" ht="15.75" hidden="false" customHeight="false" outlineLevel="0" collapsed="false">
      <c r="A134" s="14" t="s">
        <v>10</v>
      </c>
      <c r="B134" s="15" t="s">
        <v>138</v>
      </c>
      <c r="C134" s="15"/>
      <c r="D134" s="15"/>
      <c r="E134" s="15"/>
      <c r="F134" s="15"/>
      <c r="G134" s="15"/>
      <c r="H134" s="15"/>
      <c r="I134" s="297" t="n">
        <f aca="false">I50</f>
        <v>661.32</v>
      </c>
    </row>
    <row r="135" customFormat="false" ht="15.75" hidden="false" customHeight="false" outlineLevel="0" collapsed="false">
      <c r="A135" s="14" t="s">
        <v>12</v>
      </c>
      <c r="B135" s="15" t="s">
        <v>139</v>
      </c>
      <c r="C135" s="15"/>
      <c r="D135" s="15"/>
      <c r="E135" s="15"/>
      <c r="F135" s="15"/>
      <c r="G135" s="15"/>
      <c r="H135" s="15"/>
      <c r="I135" s="298" t="n">
        <f aca="false">I55</f>
        <v>206.514375</v>
      </c>
    </row>
    <row r="136" customFormat="false" ht="15.75" hidden="false" customHeight="false" outlineLevel="0" collapsed="false">
      <c r="A136" s="14" t="s">
        <v>14</v>
      </c>
      <c r="B136" s="15" t="s">
        <v>109</v>
      </c>
      <c r="C136" s="15"/>
      <c r="D136" s="15"/>
      <c r="E136" s="15"/>
      <c r="F136" s="15"/>
      <c r="G136" s="15"/>
      <c r="H136" s="15"/>
      <c r="I136" s="297" t="n">
        <f aca="false">I107</f>
        <v>1866.23</v>
      </c>
    </row>
    <row r="137" customFormat="false" ht="15.75" hidden="false" customHeight="false" outlineLevel="0" collapsed="false">
      <c r="A137" s="140" t="s">
        <v>140</v>
      </c>
      <c r="B137" s="140"/>
      <c r="C137" s="140"/>
      <c r="D137" s="140"/>
      <c r="E137" s="140"/>
      <c r="F137" s="140"/>
      <c r="G137" s="140"/>
      <c r="H137" s="140"/>
      <c r="I137" s="299" t="n">
        <f aca="false">SUM(I133:I136)</f>
        <v>5344.404375</v>
      </c>
    </row>
    <row r="138" customFormat="false" ht="15.75" hidden="false" customHeight="false" outlineLevel="0" collapsed="false">
      <c r="A138" s="14" t="s">
        <v>40</v>
      </c>
      <c r="B138" s="15" t="s">
        <v>141</v>
      </c>
      <c r="C138" s="15"/>
      <c r="D138" s="15"/>
      <c r="E138" s="15"/>
      <c r="F138" s="15"/>
      <c r="G138" s="15"/>
      <c r="H138" s="15"/>
      <c r="I138" s="297" t="n">
        <f aca="false">I123</f>
        <v>1596.59</v>
      </c>
    </row>
    <row r="139" customFormat="false" ht="15.75" hidden="false" customHeight="false" outlineLevel="0" collapsed="false">
      <c r="A139" s="143" t="s">
        <v>142</v>
      </c>
      <c r="B139" s="143"/>
      <c r="C139" s="143"/>
      <c r="D139" s="143"/>
      <c r="E139" s="143"/>
      <c r="F139" s="143"/>
      <c r="G139" s="143"/>
      <c r="H139" s="143"/>
      <c r="I139" s="300" t="n">
        <f aca="false">SUM(I137+I138)</f>
        <v>6940.994375</v>
      </c>
    </row>
    <row r="140" customFormat="false" ht="15.75" hidden="false" customHeight="false" outlineLevel="0" collapsed="false">
      <c r="A140" s="301"/>
      <c r="B140" s="301"/>
      <c r="C140" s="301"/>
      <c r="D140" s="301"/>
      <c r="E140" s="301"/>
      <c r="F140" s="301"/>
      <c r="G140" s="301"/>
      <c r="H140" s="301"/>
      <c r="I140" s="301"/>
    </row>
    <row r="141" customFormat="false" ht="15.75" hidden="false" customHeight="false" outlineLevel="0" collapsed="false">
      <c r="A141" s="33" t="s">
        <v>143</v>
      </c>
      <c r="B141" s="33"/>
      <c r="C141" s="33"/>
      <c r="D141" s="33"/>
      <c r="E141" s="33"/>
      <c r="F141" s="33"/>
      <c r="G141" s="33"/>
      <c r="H141" s="33"/>
      <c r="I141" s="33"/>
    </row>
    <row r="142" customFormat="false" ht="15.75" hidden="false" customHeight="false" outlineLevel="0" collapsed="false">
      <c r="A142" s="146" t="s">
        <v>144</v>
      </c>
      <c r="B142" s="146"/>
      <c r="C142" s="146"/>
      <c r="D142" s="146"/>
      <c r="E142" s="146"/>
      <c r="F142" s="146"/>
      <c r="G142" s="146"/>
      <c r="H142" s="146"/>
      <c r="I142" s="146"/>
    </row>
    <row r="143" customFormat="false" ht="47.25" hidden="false" customHeight="true" outlineLevel="0" collapsed="false">
      <c r="A143" s="147" t="s">
        <v>145</v>
      </c>
      <c r="B143" s="147"/>
      <c r="C143" s="148" t="s">
        <v>146</v>
      </c>
      <c r="D143" s="148"/>
      <c r="E143" s="149" t="s">
        <v>147</v>
      </c>
      <c r="F143" s="148" t="s">
        <v>148</v>
      </c>
      <c r="G143" s="148"/>
      <c r="H143" s="148" t="s">
        <v>149</v>
      </c>
      <c r="I143" s="302" t="s">
        <v>150</v>
      </c>
    </row>
    <row r="144" customFormat="false" ht="16.5" hidden="false" customHeight="true" outlineLevel="0" collapsed="false">
      <c r="A144" s="151" t="s">
        <v>26</v>
      </c>
      <c r="B144" s="151"/>
      <c r="C144" s="152" t="n">
        <f aca="false">I139</f>
        <v>6940.994375</v>
      </c>
      <c r="D144" s="152"/>
      <c r="E144" s="153" t="s">
        <v>216</v>
      </c>
      <c r="F144" s="154" t="n">
        <f aca="false">C144</f>
        <v>6940.994375</v>
      </c>
      <c r="G144" s="154"/>
      <c r="H144" s="155" t="n">
        <v>1</v>
      </c>
      <c r="I144" s="303" t="n">
        <f aca="false">F144*H144</f>
        <v>6940.994375</v>
      </c>
    </row>
    <row r="145" customFormat="false" ht="15.75" hidden="false" customHeight="false" outlineLevel="0" collapsed="false">
      <c r="A145" s="301"/>
      <c r="B145" s="301"/>
      <c r="C145" s="301"/>
      <c r="D145" s="301"/>
      <c r="E145" s="301"/>
      <c r="F145" s="301"/>
      <c r="G145" s="301"/>
      <c r="H145" s="301"/>
      <c r="I145" s="301"/>
    </row>
    <row r="146" customFormat="false" ht="15.75" hidden="false" customHeight="false" outlineLevel="0" collapsed="false">
      <c r="A146" s="33" t="s">
        <v>151</v>
      </c>
      <c r="B146" s="33"/>
      <c r="C146" s="33"/>
      <c r="D146" s="33"/>
      <c r="E146" s="33"/>
      <c r="F146" s="33"/>
      <c r="G146" s="33"/>
      <c r="H146" s="33"/>
      <c r="I146" s="33"/>
    </row>
    <row r="147" customFormat="false" ht="15.75" hidden="false" customHeight="false" outlineLevel="0" collapsed="false">
      <c r="A147" s="146" t="s">
        <v>152</v>
      </c>
      <c r="B147" s="146"/>
      <c r="C147" s="146"/>
      <c r="D147" s="146"/>
      <c r="E147" s="146"/>
      <c r="F147" s="146"/>
      <c r="G147" s="146"/>
      <c r="H147" s="146"/>
      <c r="I147" s="146"/>
    </row>
    <row r="148" customFormat="false" ht="15.75" hidden="false" customHeight="false" outlineLevel="0" collapsed="false">
      <c r="A148" s="157" t="s">
        <v>153</v>
      </c>
      <c r="B148" s="157"/>
      <c r="C148" s="157"/>
      <c r="D148" s="157"/>
      <c r="E148" s="157"/>
      <c r="F148" s="157"/>
      <c r="G148" s="157"/>
      <c r="H148" s="157"/>
      <c r="I148" s="157"/>
    </row>
    <row r="149" customFormat="false" ht="15.75" hidden="false" customHeight="false" outlineLevel="0" collapsed="false">
      <c r="A149" s="158" t="s">
        <v>8</v>
      </c>
      <c r="B149" s="15" t="s">
        <v>154</v>
      </c>
      <c r="C149" s="15"/>
      <c r="D149" s="15"/>
      <c r="E149" s="15"/>
      <c r="F149" s="15"/>
      <c r="G149" s="15"/>
      <c r="H149" s="15"/>
      <c r="I149" s="304" t="n">
        <f aca="false">F144</f>
        <v>6940.994375</v>
      </c>
    </row>
    <row r="150" customFormat="false" ht="15.75" hidden="false" customHeight="false" outlineLevel="0" collapsed="false">
      <c r="A150" s="158" t="s">
        <v>10</v>
      </c>
      <c r="B150" s="15" t="s">
        <v>155</v>
      </c>
      <c r="C150" s="15"/>
      <c r="D150" s="15"/>
      <c r="E150" s="15"/>
      <c r="F150" s="15"/>
      <c r="G150" s="15"/>
      <c r="H150" s="15"/>
      <c r="I150" s="305" t="n">
        <f aca="false">I144</f>
        <v>6940.994375</v>
      </c>
    </row>
    <row r="151" customFormat="false" ht="16.5" hidden="false" customHeight="true" outlineLevel="0" collapsed="false">
      <c r="A151" s="161" t="s">
        <v>12</v>
      </c>
      <c r="B151" s="162" t="s">
        <v>156</v>
      </c>
      <c r="C151" s="162"/>
      <c r="D151" s="162"/>
      <c r="E151" s="162"/>
      <c r="F151" s="162"/>
      <c r="G151" s="162"/>
      <c r="H151" s="162"/>
      <c r="I151" s="306" t="n">
        <f aca="false">I150*12</f>
        <v>83291.9325</v>
      </c>
    </row>
  </sheetData>
  <mergeCells count="156">
    <mergeCell ref="A8:I8"/>
    <mergeCell ref="A9:I9"/>
    <mergeCell ref="A10:I10"/>
    <mergeCell ref="A11:I11"/>
    <mergeCell ref="A12:I12"/>
    <mergeCell ref="A13:I13"/>
    <mergeCell ref="A14:I14"/>
    <mergeCell ref="B15:H15"/>
    <mergeCell ref="B16:H16"/>
    <mergeCell ref="B17:H17"/>
    <mergeCell ref="B18:H18"/>
    <mergeCell ref="A19:I19"/>
    <mergeCell ref="A20:D20"/>
    <mergeCell ref="E20:F20"/>
    <mergeCell ref="G20:I20"/>
    <mergeCell ref="A21:D21"/>
    <mergeCell ref="E21:F22"/>
    <mergeCell ref="G21:I22"/>
    <mergeCell ref="A22:D22"/>
    <mergeCell ref="B23:I23"/>
    <mergeCell ref="A24:I24"/>
    <mergeCell ref="A25:I25"/>
    <mergeCell ref="A26:I26"/>
    <mergeCell ref="B27:H27"/>
    <mergeCell ref="B28:H28"/>
    <mergeCell ref="B29:H29"/>
    <mergeCell ref="B30:H30"/>
    <mergeCell ref="B31:H31"/>
    <mergeCell ref="B32:H32"/>
    <mergeCell ref="B33:H33"/>
    <mergeCell ref="A34:I34"/>
    <mergeCell ref="A35:I35"/>
    <mergeCell ref="B36:H36"/>
    <mergeCell ref="B37:H37"/>
    <mergeCell ref="B38:H38"/>
    <mergeCell ref="B39:H39"/>
    <mergeCell ref="B40:H40"/>
    <mergeCell ref="A41:H41"/>
    <mergeCell ref="A42:I42"/>
    <mergeCell ref="B43:H43"/>
    <mergeCell ref="A44:A46"/>
    <mergeCell ref="B44:H44"/>
    <mergeCell ref="B45:G45"/>
    <mergeCell ref="B46:G46"/>
    <mergeCell ref="A47:A48"/>
    <mergeCell ref="B47:H47"/>
    <mergeCell ref="B48:G48"/>
    <mergeCell ref="B49:H49"/>
    <mergeCell ref="A50:H50"/>
    <mergeCell ref="A51:I51"/>
    <mergeCell ref="A52:I52"/>
    <mergeCell ref="B53:H53"/>
    <mergeCell ref="B54:H54"/>
    <mergeCell ref="A55:H55"/>
    <mergeCell ref="A56:I56"/>
    <mergeCell ref="A57:I57"/>
    <mergeCell ref="B58:G58"/>
    <mergeCell ref="B59:G59"/>
    <mergeCell ref="B60:G60"/>
    <mergeCell ref="B61:G61"/>
    <mergeCell ref="B62:G62"/>
    <mergeCell ref="B63:G63"/>
    <mergeCell ref="B64:G64"/>
    <mergeCell ref="B65:E65"/>
    <mergeCell ref="B66:G66"/>
    <mergeCell ref="A67:G67"/>
    <mergeCell ref="A68:I68"/>
    <mergeCell ref="A69:I69"/>
    <mergeCell ref="A70:I70"/>
    <mergeCell ref="B71:H71"/>
    <mergeCell ref="B72:H72"/>
    <mergeCell ref="A73:H73"/>
    <mergeCell ref="B74:H74"/>
    <mergeCell ref="A75:H75"/>
    <mergeCell ref="A76:I76"/>
    <mergeCell ref="B77:H77"/>
    <mergeCell ref="B78:H78"/>
    <mergeCell ref="B79:H79"/>
    <mergeCell ref="A80:H80"/>
    <mergeCell ref="A81:I81"/>
    <mergeCell ref="B82:H82"/>
    <mergeCell ref="B83:H83"/>
    <mergeCell ref="B84:H84"/>
    <mergeCell ref="B85:H85"/>
    <mergeCell ref="B86:H86"/>
    <mergeCell ref="B87:H87"/>
    <mergeCell ref="B88:H88"/>
    <mergeCell ref="A89:H89"/>
    <mergeCell ref="A90:I90"/>
    <mergeCell ref="B91:H91"/>
    <mergeCell ref="B92:H92"/>
    <mergeCell ref="B93:H93"/>
    <mergeCell ref="B94:H94"/>
    <mergeCell ref="B95:H95"/>
    <mergeCell ref="B96:H96"/>
    <mergeCell ref="A97:H97"/>
    <mergeCell ref="B98:H98"/>
    <mergeCell ref="A99:H99"/>
    <mergeCell ref="A100:I100"/>
    <mergeCell ref="B101:H101"/>
    <mergeCell ref="B102:H102"/>
    <mergeCell ref="B103:H103"/>
    <mergeCell ref="B104:H104"/>
    <mergeCell ref="B105:H105"/>
    <mergeCell ref="B106:H106"/>
    <mergeCell ref="A107:H107"/>
    <mergeCell ref="A108:I108"/>
    <mergeCell ref="B109:G109"/>
    <mergeCell ref="A110:G110"/>
    <mergeCell ref="B111:G111"/>
    <mergeCell ref="A112:G112"/>
    <mergeCell ref="B113:G113"/>
    <mergeCell ref="A114:G114"/>
    <mergeCell ref="A115:A122"/>
    <mergeCell ref="B115:G115"/>
    <mergeCell ref="B116:G116"/>
    <mergeCell ref="B117:G117"/>
    <mergeCell ref="B118:G118"/>
    <mergeCell ref="B119:G119"/>
    <mergeCell ref="B120:G120"/>
    <mergeCell ref="B121:G121"/>
    <mergeCell ref="B122:G122"/>
    <mergeCell ref="A123:H123"/>
    <mergeCell ref="A124:G124"/>
    <mergeCell ref="A125:B126"/>
    <mergeCell ref="C125:I125"/>
    <mergeCell ref="C126:I126"/>
    <mergeCell ref="A127:I127"/>
    <mergeCell ref="A128:I128"/>
    <mergeCell ref="A129:I129"/>
    <mergeCell ref="A130:I130"/>
    <mergeCell ref="A131:I131"/>
    <mergeCell ref="A132:H132"/>
    <mergeCell ref="B133:H133"/>
    <mergeCell ref="B134:H134"/>
    <mergeCell ref="B135:H135"/>
    <mergeCell ref="B136:H136"/>
    <mergeCell ref="A137:H137"/>
    <mergeCell ref="B138:H138"/>
    <mergeCell ref="A139:H139"/>
    <mergeCell ref="A140:I140"/>
    <mergeCell ref="A141:I141"/>
    <mergeCell ref="A142:I142"/>
    <mergeCell ref="A143:B143"/>
    <mergeCell ref="C143:D143"/>
    <mergeCell ref="F143:G143"/>
    <mergeCell ref="A144:B144"/>
    <mergeCell ref="C144:D144"/>
    <mergeCell ref="F144:G144"/>
    <mergeCell ref="A145:I145"/>
    <mergeCell ref="A146:I146"/>
    <mergeCell ref="A147:I147"/>
    <mergeCell ref="A148:I148"/>
    <mergeCell ref="B149:H149"/>
    <mergeCell ref="B150:H150"/>
    <mergeCell ref="B151:H151"/>
  </mergeCells>
  <printOptions headings="false" gridLines="false" gridLinesSet="true" horizontalCentered="false" verticalCentered="false"/>
  <pageMargins left="0.698611111111111" right="0.698611111111111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5" man="true" max="16383" min="0"/>
    <brk id="107" man="true" max="16383" min="0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N153"/>
  <sheetViews>
    <sheetView showFormulas="false" showGridLines="true" showRowColHeaders="true" showZeros="true" rightToLeft="false" tabSelected="false" showOutlineSymbols="true" defaultGridColor="true" view="pageBreakPreview" topLeftCell="A124" colorId="64" zoomScale="76" zoomScaleNormal="100" zoomScalePageLayoutView="76" workbookViewId="0">
      <selection pane="topLeft" activeCell="I42" activeCellId="0" sqref="I42"/>
    </sheetView>
  </sheetViews>
  <sheetFormatPr defaultRowHeight="15" zeroHeight="false" outlineLevelRow="0" outlineLevelCol="0"/>
  <cols>
    <col collapsed="false" customWidth="true" hidden="false" outlineLevel="0" max="1" min="1" style="1" width="13.7"/>
    <col collapsed="false" customWidth="true" hidden="false" outlineLevel="0" max="2" min="2" style="1" width="19.42"/>
    <col collapsed="false" customWidth="true" hidden="false" outlineLevel="0" max="3" min="3" style="1" width="11.99"/>
    <col collapsed="false" customWidth="true" hidden="false" outlineLevel="0" max="4" min="4" style="1" width="17"/>
    <col collapsed="false" customWidth="true" hidden="false" outlineLevel="0" max="5" min="5" style="1" width="19.31"/>
    <col collapsed="false" customWidth="true" hidden="false" outlineLevel="0" max="6" min="6" style="1" width="21.71"/>
    <col collapsed="false" customWidth="true" hidden="false" outlineLevel="0" max="7" min="7" style="1" width="22.28"/>
    <col collapsed="false" customWidth="true" hidden="false" outlineLevel="0" max="8" min="8" style="1" width="29.71"/>
    <col collapsed="false" customWidth="true" hidden="false" outlineLevel="0" max="9" min="9" style="1" width="48.01"/>
    <col collapsed="false" customWidth="true" hidden="true" outlineLevel="0" max="11" min="10" style="1" width="9"/>
    <col collapsed="false" customWidth="true" hidden="false" outlineLevel="0" max="12" min="12" style="1" width="58.57"/>
    <col collapsed="false" customWidth="true" hidden="false" outlineLevel="0" max="1025" min="13" style="1" width="28.57"/>
  </cols>
  <sheetData>
    <row r="1" s="101" customFormat="true" ht="15.75" hidden="false" customHeight="false" outlineLevel="0" collapsed="false">
      <c r="A1" s="173" t="s">
        <v>178</v>
      </c>
      <c r="I1" s="209"/>
    </row>
    <row r="2" s="101" customFormat="true" ht="15.75" hidden="false" customHeight="false" outlineLevel="0" collapsed="false">
      <c r="A2" s="173" t="s">
        <v>179</v>
      </c>
      <c r="I2" s="209"/>
    </row>
    <row r="3" s="101" customFormat="true" ht="15.75" hidden="false" customHeight="false" outlineLevel="0" collapsed="false">
      <c r="A3" s="173" t="s">
        <v>180</v>
      </c>
      <c r="I3" s="209"/>
    </row>
    <row r="4" s="101" customFormat="true" ht="15.75" hidden="false" customHeight="false" outlineLevel="0" collapsed="false">
      <c r="A4" s="173" t="s">
        <v>181</v>
      </c>
      <c r="I4" s="209"/>
    </row>
    <row r="5" s="101" customFormat="true" ht="15.75" hidden="false" customHeight="false" outlineLevel="0" collapsed="false">
      <c r="A5" s="173" t="s">
        <v>182</v>
      </c>
      <c r="I5" s="209"/>
    </row>
    <row r="6" s="101" customFormat="true" ht="15.75" hidden="false" customHeight="false" outlineLevel="0" collapsed="false">
      <c r="A6" s="173" t="s">
        <v>183</v>
      </c>
      <c r="I6" s="209"/>
    </row>
    <row r="7" customFormat="false" ht="15.75" hidden="false" customHeight="false" outlineLevel="0" collapsed="false">
      <c r="A7" s="174" t="s">
        <v>184</v>
      </c>
      <c r="I7" s="171"/>
    </row>
    <row r="8" customFormat="false" ht="15.75" hidden="false" customHeight="false" outlineLevel="0" collapsed="false">
      <c r="A8" s="263" t="s">
        <v>1</v>
      </c>
      <c r="B8" s="263"/>
      <c r="C8" s="263"/>
      <c r="D8" s="263"/>
      <c r="E8" s="263"/>
      <c r="F8" s="263"/>
      <c r="G8" s="263"/>
      <c r="H8" s="263"/>
      <c r="I8" s="263"/>
    </row>
    <row r="9" customFormat="false" ht="15.75" hidden="false" customHeight="false" outlineLevel="0" collapsed="false">
      <c r="A9" s="4" t="s">
        <v>2</v>
      </c>
      <c r="B9" s="4"/>
      <c r="C9" s="4"/>
      <c r="D9" s="4"/>
      <c r="E9" s="4"/>
      <c r="F9" s="4"/>
      <c r="G9" s="4"/>
      <c r="H9" s="4"/>
      <c r="I9" s="4"/>
    </row>
    <row r="10" customFormat="false" ht="15.75" hidden="false" customHeight="false" outlineLevel="0" collapsed="false">
      <c r="A10" s="5" t="s">
        <v>3</v>
      </c>
      <c r="B10" s="5"/>
      <c r="C10" s="5"/>
      <c r="D10" s="5"/>
      <c r="E10" s="5"/>
      <c r="F10" s="5"/>
      <c r="G10" s="5"/>
      <c r="H10" s="5"/>
      <c r="I10" s="5"/>
    </row>
    <row r="11" customFormat="false" ht="15.75" hidden="false" customHeight="false" outlineLevel="0" collapsed="false">
      <c r="A11" s="6" t="s">
        <v>4</v>
      </c>
      <c r="B11" s="6"/>
      <c r="C11" s="6"/>
      <c r="D11" s="6"/>
      <c r="E11" s="6"/>
      <c r="F11" s="6"/>
      <c r="G11" s="6"/>
      <c r="H11" s="6"/>
      <c r="I11" s="6"/>
    </row>
    <row r="12" customFormat="false" ht="15.75" hidden="false" customHeight="false" outlineLevel="0" collapsed="false">
      <c r="A12" s="7" t="s">
        <v>5</v>
      </c>
      <c r="B12" s="7"/>
      <c r="C12" s="7"/>
      <c r="D12" s="7"/>
      <c r="E12" s="7"/>
      <c r="F12" s="7"/>
      <c r="G12" s="7"/>
      <c r="H12" s="7"/>
      <c r="I12" s="7"/>
    </row>
    <row r="13" customFormat="false" ht="15.75" hidden="false" customHeight="false" outlineLevel="0" collapsed="false">
      <c r="A13" s="8" t="s">
        <v>6</v>
      </c>
      <c r="B13" s="8"/>
      <c r="C13" s="8"/>
      <c r="D13" s="8"/>
      <c r="E13" s="8"/>
      <c r="F13" s="8"/>
      <c r="G13" s="8"/>
      <c r="H13" s="8"/>
      <c r="I13" s="8"/>
    </row>
    <row r="14" customFormat="false" ht="15.75" hidden="false" customHeight="false" outlineLevel="0" collapsed="false">
      <c r="A14" s="179" t="s">
        <v>7</v>
      </c>
      <c r="B14" s="179"/>
      <c r="C14" s="179"/>
      <c r="D14" s="179"/>
      <c r="E14" s="179"/>
      <c r="F14" s="179"/>
      <c r="G14" s="179"/>
      <c r="H14" s="179"/>
      <c r="I14" s="179"/>
    </row>
    <row r="15" customFormat="false" ht="15.75" hidden="false" customHeight="false" outlineLevel="0" collapsed="false">
      <c r="A15" s="10" t="s">
        <v>8</v>
      </c>
      <c r="B15" s="11" t="s">
        <v>9</v>
      </c>
      <c r="C15" s="11"/>
      <c r="D15" s="11"/>
      <c r="E15" s="11"/>
      <c r="F15" s="11"/>
      <c r="G15" s="11"/>
      <c r="H15" s="11"/>
      <c r="I15" s="307"/>
      <c r="L15" s="13"/>
    </row>
    <row r="16" customFormat="false" ht="15.75" hidden="false" customHeight="false" outlineLevel="0" collapsed="false">
      <c r="A16" s="14" t="s">
        <v>10</v>
      </c>
      <c r="B16" s="15" t="s">
        <v>11</v>
      </c>
      <c r="C16" s="15"/>
      <c r="D16" s="15"/>
      <c r="E16" s="15"/>
      <c r="F16" s="15"/>
      <c r="G16" s="15"/>
      <c r="H16" s="15"/>
      <c r="I16" s="308" t="s">
        <v>290</v>
      </c>
      <c r="L16" s="13"/>
    </row>
    <row r="17" customFormat="false" ht="47.25" hidden="false" customHeight="true" outlineLevel="0" collapsed="false">
      <c r="A17" s="17" t="s">
        <v>12</v>
      </c>
      <c r="B17" s="18" t="s">
        <v>13</v>
      </c>
      <c r="C17" s="18"/>
      <c r="D17" s="18"/>
      <c r="E17" s="18"/>
      <c r="F17" s="18"/>
      <c r="G17" s="18"/>
      <c r="H17" s="18"/>
      <c r="I17" s="37" t="s">
        <v>186</v>
      </c>
      <c r="L17" s="13"/>
    </row>
    <row r="18" customFormat="false" ht="15.75" hidden="false" customHeight="false" outlineLevel="0" collapsed="false">
      <c r="A18" s="20" t="s">
        <v>14</v>
      </c>
      <c r="B18" s="21" t="s">
        <v>15</v>
      </c>
      <c r="C18" s="21"/>
      <c r="D18" s="21"/>
      <c r="E18" s="21"/>
      <c r="F18" s="21"/>
      <c r="G18" s="21"/>
      <c r="H18" s="21"/>
      <c r="I18" s="309" t="n">
        <v>12</v>
      </c>
    </row>
    <row r="19" customFormat="false" ht="15.75" hidden="false" customHeight="false" outlineLevel="0" collapsed="false">
      <c r="A19" s="179" t="s">
        <v>16</v>
      </c>
      <c r="B19" s="179"/>
      <c r="C19" s="179"/>
      <c r="D19" s="179"/>
      <c r="E19" s="179"/>
      <c r="F19" s="179"/>
      <c r="G19" s="179"/>
      <c r="H19" s="179"/>
      <c r="I19" s="179"/>
    </row>
    <row r="20" customFormat="false" ht="15.75" hidden="false" customHeight="false" outlineLevel="0" collapsed="false">
      <c r="A20" s="23" t="s">
        <v>17</v>
      </c>
      <c r="B20" s="23"/>
      <c r="C20" s="23"/>
      <c r="D20" s="23"/>
      <c r="E20" s="24" t="s">
        <v>18</v>
      </c>
      <c r="F20" s="24"/>
      <c r="G20" s="25" t="s">
        <v>19</v>
      </c>
      <c r="H20" s="25"/>
      <c r="I20" s="25"/>
    </row>
    <row r="21" customFormat="false" ht="15.75" hidden="false" customHeight="true" outlineLevel="0" collapsed="false">
      <c r="A21" s="26" t="s">
        <v>20</v>
      </c>
      <c r="B21" s="26"/>
      <c r="C21" s="26"/>
      <c r="D21" s="26"/>
      <c r="E21" s="27" t="s">
        <v>21</v>
      </c>
      <c r="F21" s="27"/>
      <c r="G21" s="28" t="n">
        <v>6</v>
      </c>
      <c r="H21" s="28"/>
      <c r="I21" s="28"/>
    </row>
    <row r="22" customFormat="false" ht="30" hidden="false" customHeight="true" outlineLevel="0" collapsed="false">
      <c r="A22" s="29" t="s">
        <v>217</v>
      </c>
      <c r="B22" s="29"/>
      <c r="C22" s="29"/>
      <c r="D22" s="29"/>
      <c r="E22" s="27"/>
      <c r="F22" s="27"/>
      <c r="G22" s="28"/>
      <c r="H22" s="28"/>
      <c r="I22" s="28"/>
      <c r="L22" s="30"/>
    </row>
    <row r="23" customFormat="false" ht="15.75" hidden="false" customHeight="false" outlineLevel="0" collapsed="false">
      <c r="A23" s="31"/>
      <c r="B23" s="269"/>
      <c r="C23" s="269"/>
      <c r="D23" s="269"/>
      <c r="E23" s="269"/>
      <c r="F23" s="269"/>
      <c r="G23" s="269"/>
      <c r="H23" s="269"/>
      <c r="I23" s="269"/>
    </row>
    <row r="24" customFormat="false" ht="15.75" hidden="false" customHeight="false" outlineLevel="0" collapsed="false">
      <c r="A24" s="33" t="s">
        <v>22</v>
      </c>
      <c r="B24" s="33"/>
      <c r="C24" s="33"/>
      <c r="D24" s="33"/>
      <c r="E24" s="33"/>
      <c r="F24" s="33"/>
      <c r="G24" s="33"/>
      <c r="H24" s="33"/>
      <c r="I24" s="33"/>
    </row>
    <row r="25" customFormat="false" ht="15.75" hidden="false" customHeight="false" outlineLevel="0" collapsed="false">
      <c r="A25" s="34" t="s">
        <v>23</v>
      </c>
      <c r="B25" s="34"/>
      <c r="C25" s="34"/>
      <c r="D25" s="34"/>
      <c r="E25" s="34"/>
      <c r="F25" s="34"/>
      <c r="G25" s="34"/>
      <c r="H25" s="34"/>
      <c r="I25" s="34"/>
    </row>
    <row r="26" customFormat="false" ht="15.75" hidden="false" customHeight="false" outlineLevel="0" collapsed="false">
      <c r="A26" s="35" t="s">
        <v>24</v>
      </c>
      <c r="B26" s="35"/>
      <c r="C26" s="35"/>
      <c r="D26" s="35"/>
      <c r="E26" s="35"/>
      <c r="F26" s="35"/>
      <c r="G26" s="35"/>
      <c r="H26" s="35"/>
      <c r="I26" s="35"/>
    </row>
    <row r="27" customFormat="false" ht="15.75" hidden="false" customHeight="true" outlineLevel="0" collapsed="false">
      <c r="A27" s="14" t="n">
        <v>1</v>
      </c>
      <c r="B27" s="36" t="s">
        <v>25</v>
      </c>
      <c r="C27" s="36"/>
      <c r="D27" s="36"/>
      <c r="E27" s="36"/>
      <c r="F27" s="36"/>
      <c r="G27" s="36"/>
      <c r="H27" s="36"/>
      <c r="I27" s="37" t="s">
        <v>26</v>
      </c>
    </row>
    <row r="28" customFormat="false" ht="15.75" hidden="false" customHeight="true" outlineLevel="0" collapsed="false">
      <c r="A28" s="14" t="n">
        <v>2</v>
      </c>
      <c r="B28" s="38" t="s">
        <v>27</v>
      </c>
      <c r="C28" s="38"/>
      <c r="D28" s="38"/>
      <c r="E28" s="38"/>
      <c r="F28" s="38"/>
      <c r="G28" s="38"/>
      <c r="H28" s="38"/>
      <c r="I28" s="308" t="n">
        <f aca="false">Dados!B2</f>
        <v>1305.17</v>
      </c>
    </row>
    <row r="29" customFormat="false" ht="15.75" hidden="false" customHeight="true" outlineLevel="0" collapsed="false">
      <c r="A29" s="14" t="n">
        <v>3</v>
      </c>
      <c r="B29" s="38" t="s">
        <v>28</v>
      </c>
      <c r="C29" s="38"/>
      <c r="D29" s="38"/>
      <c r="E29" s="38"/>
      <c r="F29" s="38"/>
      <c r="G29" s="38"/>
      <c r="H29" s="38"/>
      <c r="I29" s="308" t="s">
        <v>188</v>
      </c>
    </row>
    <row r="30" customFormat="false" ht="15.75" hidden="false" customHeight="true" outlineLevel="0" collapsed="false">
      <c r="A30" s="40" t="n">
        <v>4</v>
      </c>
      <c r="B30" s="329" t="s">
        <v>29</v>
      </c>
      <c r="C30" s="329"/>
      <c r="D30" s="329"/>
      <c r="E30" s="329"/>
      <c r="F30" s="329"/>
      <c r="G30" s="329"/>
      <c r="H30" s="329"/>
      <c r="I30" s="311" t="n">
        <v>42005</v>
      </c>
    </row>
    <row r="31" customFormat="false" ht="15.75" hidden="false" customHeight="true" outlineLevel="0" collapsed="false">
      <c r="A31" s="40" t="n">
        <v>5</v>
      </c>
      <c r="B31" s="38" t="s">
        <v>30</v>
      </c>
      <c r="C31" s="38"/>
      <c r="D31" s="38"/>
      <c r="E31" s="38"/>
      <c r="F31" s="38"/>
      <c r="G31" s="38"/>
      <c r="H31" s="38"/>
      <c r="I31" s="311" t="n">
        <f aca="false">I28/220</f>
        <v>5.93259090909091</v>
      </c>
    </row>
    <row r="32" customFormat="false" ht="15.75" hidden="false" customHeight="true" outlineLevel="0" collapsed="false">
      <c r="A32" s="40" t="n">
        <v>6</v>
      </c>
      <c r="B32" s="38" t="s">
        <v>31</v>
      </c>
      <c r="C32" s="38"/>
      <c r="D32" s="38"/>
      <c r="E32" s="38"/>
      <c r="F32" s="38"/>
      <c r="G32" s="38"/>
      <c r="H32" s="38"/>
      <c r="I32" s="311" t="n">
        <f aca="false">I31*1.5</f>
        <v>8.89888636363636</v>
      </c>
    </row>
    <row r="33" customFormat="false" ht="16.5" hidden="false" customHeight="true" outlineLevel="0" collapsed="false">
      <c r="A33" s="20" t="n">
        <v>7</v>
      </c>
      <c r="B33" s="44" t="s">
        <v>32</v>
      </c>
      <c r="C33" s="44"/>
      <c r="D33" s="44"/>
      <c r="E33" s="44"/>
      <c r="F33" s="44"/>
      <c r="G33" s="44"/>
      <c r="H33" s="44"/>
      <c r="I33" s="309" t="n">
        <f aca="false">I31*0.2</f>
        <v>1.18651818181818</v>
      </c>
    </row>
    <row r="34" customFormat="false" ht="15.75" hidden="false" customHeight="false" outlineLevel="0" collapsed="false">
      <c r="A34" s="271"/>
      <c r="B34" s="271"/>
      <c r="C34" s="271"/>
      <c r="D34" s="271"/>
      <c r="E34" s="271"/>
      <c r="F34" s="271"/>
      <c r="G34" s="271"/>
      <c r="H34" s="271"/>
      <c r="I34" s="271"/>
    </row>
    <row r="35" customFormat="false" ht="15.75" hidden="false" customHeight="false" outlineLevel="0" collapsed="false">
      <c r="A35" s="47" t="s">
        <v>33</v>
      </c>
      <c r="B35" s="47"/>
      <c r="C35" s="47"/>
      <c r="D35" s="47"/>
      <c r="E35" s="47"/>
      <c r="F35" s="47"/>
      <c r="G35" s="47"/>
      <c r="H35" s="47"/>
      <c r="I35" s="47"/>
    </row>
    <row r="36" customFormat="false" ht="15.75" hidden="false" customHeight="false" outlineLevel="0" collapsed="false">
      <c r="A36" s="48" t="n">
        <v>1</v>
      </c>
      <c r="B36" s="49" t="s">
        <v>34</v>
      </c>
      <c r="C36" s="49"/>
      <c r="D36" s="49"/>
      <c r="E36" s="49"/>
      <c r="F36" s="49"/>
      <c r="G36" s="49"/>
      <c r="H36" s="49"/>
      <c r="I36" s="204" t="s">
        <v>35</v>
      </c>
      <c r="L36" s="51"/>
    </row>
    <row r="37" customFormat="false" ht="15.75" hidden="false" customHeight="false" outlineLevel="0" collapsed="false">
      <c r="A37" s="17" t="s">
        <v>8</v>
      </c>
      <c r="B37" s="52" t="s">
        <v>36</v>
      </c>
      <c r="C37" s="52"/>
      <c r="D37" s="52"/>
      <c r="E37" s="52"/>
      <c r="F37" s="52"/>
      <c r="G37" s="52"/>
      <c r="H37" s="52"/>
      <c r="I37" s="207" t="n">
        <f aca="false">ROUND(I28*2,2)</f>
        <v>2610.34</v>
      </c>
      <c r="L37" s="51"/>
    </row>
    <row r="38" customFormat="false" ht="29.25" hidden="false" customHeight="true" outlineLevel="0" collapsed="false">
      <c r="A38" s="17" t="s">
        <v>10</v>
      </c>
      <c r="B38" s="54" t="s">
        <v>260</v>
      </c>
      <c r="C38" s="54"/>
      <c r="D38" s="54"/>
      <c r="E38" s="54"/>
      <c r="F38" s="54"/>
      <c r="G38" s="54"/>
      <c r="H38" s="54"/>
      <c r="I38" s="207" t="n">
        <f aca="false">ROUND((I32*21*2)+(I32*5*2*(15/60)),2)</f>
        <v>396</v>
      </c>
      <c r="L38" s="55"/>
    </row>
    <row r="39" customFormat="false" ht="31.5" hidden="false" customHeight="true" outlineLevel="0" collapsed="false">
      <c r="A39" s="17" t="s">
        <v>12</v>
      </c>
      <c r="B39" s="54" t="s">
        <v>243</v>
      </c>
      <c r="C39" s="54"/>
      <c r="D39" s="54"/>
      <c r="E39" s="54"/>
      <c r="F39" s="54"/>
      <c r="G39" s="54"/>
      <c r="H39" s="54"/>
      <c r="I39" s="207" t="n">
        <f aca="false">ROUND(I33*1*(60/52.5)*21,2)</f>
        <v>28.48</v>
      </c>
      <c r="L39" s="55"/>
    </row>
    <row r="40" customFormat="false" ht="30" hidden="false" customHeight="true" outlineLevel="0" collapsed="false">
      <c r="A40" s="17" t="s">
        <v>14</v>
      </c>
      <c r="B40" s="54" t="s">
        <v>220</v>
      </c>
      <c r="C40" s="54"/>
      <c r="D40" s="54"/>
      <c r="E40" s="54"/>
      <c r="F40" s="54"/>
      <c r="G40" s="54"/>
      <c r="H40" s="54"/>
      <c r="I40" s="207" t="n">
        <f aca="false">ROUND(I32*21*(60/52.5-1),2)</f>
        <v>26.7</v>
      </c>
      <c r="L40" s="55"/>
    </row>
    <row r="41" customFormat="false" ht="15.75" hidden="false" customHeight="false" outlineLevel="0" collapsed="false">
      <c r="A41" s="17" t="s">
        <v>40</v>
      </c>
      <c r="B41" s="74" t="s">
        <v>221</v>
      </c>
      <c r="C41" s="74"/>
      <c r="D41" s="74"/>
      <c r="E41" s="74"/>
      <c r="F41" s="74"/>
      <c r="G41" s="74"/>
      <c r="H41" s="74"/>
      <c r="I41" s="207" t="n">
        <f aca="false">ROUND(I32*2*10,2)</f>
        <v>177.98</v>
      </c>
      <c r="L41" s="57"/>
    </row>
    <row r="42" customFormat="false" ht="19.5" hidden="false" customHeight="true" outlineLevel="0" collapsed="false">
      <c r="A42" s="274" t="s">
        <v>42</v>
      </c>
      <c r="B42" s="58" t="s">
        <v>43</v>
      </c>
      <c r="C42" s="58"/>
      <c r="D42" s="58"/>
      <c r="E42" s="58"/>
      <c r="F42" s="58"/>
      <c r="G42" s="58"/>
      <c r="H42" s="58"/>
      <c r="I42" s="211" t="n">
        <f aca="false">(I38+I39+I40+I41)*0.2</f>
        <v>125.832</v>
      </c>
      <c r="K42" s="59"/>
    </row>
    <row r="43" customFormat="false" ht="15.75" hidden="false" customHeight="false" outlineLevel="0" collapsed="false">
      <c r="A43" s="60" t="s">
        <v>44</v>
      </c>
      <c r="B43" s="60"/>
      <c r="C43" s="60"/>
      <c r="D43" s="60"/>
      <c r="E43" s="60"/>
      <c r="F43" s="60"/>
      <c r="G43" s="60"/>
      <c r="H43" s="60"/>
      <c r="I43" s="210" t="n">
        <f aca="false">SUM(I37:I42)</f>
        <v>3365.332</v>
      </c>
    </row>
    <row r="44" customFormat="false" ht="15.75" hidden="false" customHeight="false" outlineLevel="0" collapsed="false">
      <c r="A44" s="47" t="s">
        <v>45</v>
      </c>
      <c r="B44" s="47"/>
      <c r="C44" s="47"/>
      <c r="D44" s="47"/>
      <c r="E44" s="47"/>
      <c r="F44" s="47"/>
      <c r="G44" s="47"/>
      <c r="H44" s="47"/>
      <c r="I44" s="47"/>
    </row>
    <row r="45" customFormat="false" ht="15.75" hidden="false" customHeight="false" outlineLevel="0" collapsed="false">
      <c r="A45" s="62" t="n">
        <v>2</v>
      </c>
      <c r="B45" s="63" t="s">
        <v>46</v>
      </c>
      <c r="C45" s="63"/>
      <c r="D45" s="63"/>
      <c r="E45" s="63"/>
      <c r="F45" s="63"/>
      <c r="G45" s="63"/>
      <c r="H45" s="63"/>
      <c r="I45" s="204" t="s">
        <v>35</v>
      </c>
    </row>
    <row r="46" customFormat="false" ht="15.75" hidden="false" customHeight="true" outlineLevel="0" collapsed="false">
      <c r="A46" s="64" t="s">
        <v>8</v>
      </c>
      <c r="B46" s="54" t="s">
        <v>206</v>
      </c>
      <c r="C46" s="54"/>
      <c r="D46" s="54"/>
      <c r="E46" s="54"/>
      <c r="F46" s="54"/>
      <c r="G46" s="54"/>
      <c r="H46" s="54"/>
      <c r="I46" s="312" t="n">
        <f aca="false">ROUND((2*H48*H47*26)-(0.06*I37),2)</f>
        <v>207.38</v>
      </c>
      <c r="L46" s="66"/>
    </row>
    <row r="47" customFormat="false" ht="27.75" hidden="false" customHeight="true" outlineLevel="0" collapsed="false">
      <c r="A47" s="64"/>
      <c r="B47" s="277" t="s">
        <v>291</v>
      </c>
      <c r="C47" s="277"/>
      <c r="D47" s="277"/>
      <c r="E47" s="277"/>
      <c r="F47" s="277"/>
      <c r="G47" s="277"/>
      <c r="H47" s="213" t="n">
        <f aca="false">Dados!B18</f>
        <v>3.5</v>
      </c>
      <c r="I47" s="312"/>
    </row>
    <row r="48" customFormat="false" ht="15.75" hidden="false" customHeight="false" outlineLevel="0" collapsed="false">
      <c r="A48" s="64"/>
      <c r="B48" s="69" t="s">
        <v>49</v>
      </c>
      <c r="C48" s="69"/>
      <c r="D48" s="69"/>
      <c r="E48" s="69"/>
      <c r="F48" s="69"/>
      <c r="G48" s="69"/>
      <c r="H48" s="70" t="n">
        <v>2</v>
      </c>
      <c r="I48" s="312"/>
    </row>
    <row r="49" customFormat="false" ht="15.75" hidden="false" customHeight="true" outlineLevel="0" collapsed="false">
      <c r="A49" s="64" t="s">
        <v>10</v>
      </c>
      <c r="B49" s="54" t="s">
        <v>50</v>
      </c>
      <c r="C49" s="54"/>
      <c r="D49" s="54"/>
      <c r="E49" s="54"/>
      <c r="F49" s="54"/>
      <c r="G49" s="54"/>
      <c r="H49" s="54"/>
      <c r="I49" s="312" t="n">
        <f aca="false">ROUND(((2*21*H50)+(2*5*Dados!B4))*(1-0.18),2)</f>
        <v>644.73</v>
      </c>
    </row>
    <row r="50" customFormat="false" ht="15.75" hidden="false" customHeight="false" outlineLevel="0" collapsed="false">
      <c r="A50" s="64"/>
      <c r="B50" s="69" t="s">
        <v>51</v>
      </c>
      <c r="C50" s="69"/>
      <c r="D50" s="69"/>
      <c r="E50" s="69"/>
      <c r="F50" s="69"/>
      <c r="G50" s="69"/>
      <c r="H50" s="280" t="n">
        <f aca="false">Dados!B3</f>
        <v>16.73</v>
      </c>
      <c r="I50" s="223"/>
    </row>
    <row r="51" customFormat="false" ht="15.75" hidden="false" customHeight="true" outlineLevel="0" collapsed="false">
      <c r="A51" s="17" t="s">
        <v>12</v>
      </c>
      <c r="B51" s="58" t="s">
        <v>284</v>
      </c>
      <c r="C51" s="58"/>
      <c r="D51" s="58"/>
      <c r="E51" s="58"/>
      <c r="F51" s="58"/>
      <c r="G51" s="58"/>
      <c r="H51" s="58"/>
      <c r="I51" s="312" t="n">
        <f aca="false">ROUND(Dados!B5*2,2)</f>
        <v>30.04</v>
      </c>
    </row>
    <row r="52" customFormat="false" ht="15.75" hidden="false" customHeight="false" outlineLevel="0" collapsed="false">
      <c r="A52" s="60" t="s">
        <v>53</v>
      </c>
      <c r="B52" s="60"/>
      <c r="C52" s="60"/>
      <c r="D52" s="60"/>
      <c r="E52" s="60"/>
      <c r="F52" s="60"/>
      <c r="G52" s="60"/>
      <c r="H52" s="60"/>
      <c r="I52" s="210" t="n">
        <f aca="false">SUM(I46:I51)</f>
        <v>882.15</v>
      </c>
    </row>
    <row r="53" customFormat="false" ht="15.75" hidden="false" customHeight="false" outlineLevel="0" collapsed="false">
      <c r="A53" s="73" t="s">
        <v>54</v>
      </c>
      <c r="B53" s="73"/>
      <c r="C53" s="73"/>
      <c r="D53" s="73"/>
      <c r="E53" s="73"/>
      <c r="F53" s="73"/>
      <c r="G53" s="73"/>
      <c r="H53" s="73"/>
      <c r="I53" s="73"/>
    </row>
    <row r="54" customFormat="false" ht="15.75" hidden="false" customHeight="false" outlineLevel="0" collapsed="false">
      <c r="A54" s="47" t="s">
        <v>55</v>
      </c>
      <c r="B54" s="47"/>
      <c r="C54" s="47"/>
      <c r="D54" s="47"/>
      <c r="E54" s="47"/>
      <c r="F54" s="47"/>
      <c r="G54" s="47"/>
      <c r="H54" s="47"/>
      <c r="I54" s="47"/>
    </row>
    <row r="55" customFormat="false" ht="15.75" hidden="false" customHeight="false" outlineLevel="0" collapsed="false">
      <c r="A55" s="62" t="n">
        <v>3</v>
      </c>
      <c r="B55" s="63" t="s">
        <v>56</v>
      </c>
      <c r="C55" s="63"/>
      <c r="D55" s="63"/>
      <c r="E55" s="63"/>
      <c r="F55" s="63"/>
      <c r="G55" s="63"/>
      <c r="H55" s="63"/>
      <c r="I55" s="204" t="s">
        <v>35</v>
      </c>
    </row>
    <row r="56" customFormat="false" ht="15.75" hidden="false" customHeight="false" outlineLevel="0" collapsed="false">
      <c r="A56" s="64" t="s">
        <v>8</v>
      </c>
      <c r="B56" s="74" t="s">
        <v>233</v>
      </c>
      <c r="C56" s="74"/>
      <c r="D56" s="74"/>
      <c r="E56" s="74"/>
      <c r="F56" s="74"/>
      <c r="G56" s="74"/>
      <c r="H56" s="74"/>
      <c r="I56" s="75" t="n">
        <f aca="false">Dados!D6*2</f>
        <v>137.67625</v>
      </c>
      <c r="J56" s="76"/>
      <c r="K56" s="77"/>
    </row>
    <row r="57" customFormat="false" ht="15.75" hidden="false" customHeight="false" outlineLevel="0" collapsed="false">
      <c r="A57" s="60" t="s">
        <v>58</v>
      </c>
      <c r="B57" s="60"/>
      <c r="C57" s="60"/>
      <c r="D57" s="60"/>
      <c r="E57" s="60"/>
      <c r="F57" s="60"/>
      <c r="G57" s="60"/>
      <c r="H57" s="60"/>
      <c r="I57" s="78" t="n">
        <f aca="false">SUM(I56:I56)</f>
        <v>137.67625</v>
      </c>
    </row>
    <row r="58" customFormat="false" ht="15.75" hidden="false" customHeight="false" outlineLevel="0" collapsed="false">
      <c r="A58" s="47" t="s">
        <v>59</v>
      </c>
      <c r="B58" s="47"/>
      <c r="C58" s="47"/>
      <c r="D58" s="47"/>
      <c r="E58" s="47"/>
      <c r="F58" s="47"/>
      <c r="G58" s="47"/>
      <c r="H58" s="47"/>
      <c r="I58" s="47"/>
    </row>
    <row r="59" customFormat="false" ht="15.75" hidden="false" customHeight="false" outlineLevel="0" collapsed="false">
      <c r="A59" s="79" t="s">
        <v>60</v>
      </c>
      <c r="B59" s="79"/>
      <c r="C59" s="79"/>
      <c r="D59" s="79"/>
      <c r="E59" s="79"/>
      <c r="F59" s="79"/>
      <c r="G59" s="79"/>
      <c r="H59" s="79"/>
      <c r="I59" s="79"/>
    </row>
    <row r="60" customFormat="false" ht="15.75" hidden="false" customHeight="false" outlineLevel="0" collapsed="false">
      <c r="A60" s="62" t="s">
        <v>61</v>
      </c>
      <c r="B60" s="80" t="s">
        <v>62</v>
      </c>
      <c r="C60" s="80"/>
      <c r="D60" s="80"/>
      <c r="E60" s="80"/>
      <c r="F60" s="80"/>
      <c r="G60" s="80"/>
      <c r="H60" s="81" t="s">
        <v>63</v>
      </c>
      <c r="I60" s="204" t="s">
        <v>35</v>
      </c>
    </row>
    <row r="61" customFormat="false" ht="15.75" hidden="false" customHeight="false" outlineLevel="0" collapsed="false">
      <c r="A61" s="82" t="s">
        <v>8</v>
      </c>
      <c r="B61" s="83" t="s">
        <v>64</v>
      </c>
      <c r="C61" s="83"/>
      <c r="D61" s="83"/>
      <c r="E61" s="83"/>
      <c r="F61" s="83"/>
      <c r="G61" s="83"/>
      <c r="H61" s="84" t="n">
        <v>0.2</v>
      </c>
      <c r="I61" s="207" t="n">
        <f aca="false">ROUND(($I$43-$I$38)*H61,2)</f>
        <v>593.87</v>
      </c>
      <c r="K61" s="66"/>
    </row>
    <row r="62" customFormat="false" ht="15.75" hidden="false" customHeight="false" outlineLevel="0" collapsed="false">
      <c r="A62" s="82" t="s">
        <v>10</v>
      </c>
      <c r="B62" s="83" t="s">
        <v>65</v>
      </c>
      <c r="C62" s="83"/>
      <c r="D62" s="83"/>
      <c r="E62" s="83"/>
      <c r="F62" s="83"/>
      <c r="G62" s="83"/>
      <c r="H62" s="85" t="n">
        <v>0.015</v>
      </c>
      <c r="I62" s="207" t="n">
        <f aca="false">ROUND(($I$43-$I$38)*H62,2)</f>
        <v>44.54</v>
      </c>
      <c r="K62" s="66"/>
    </row>
    <row r="63" customFormat="false" ht="15.75" hidden="false" customHeight="false" outlineLevel="0" collapsed="false">
      <c r="A63" s="82" t="s">
        <v>12</v>
      </c>
      <c r="B63" s="83" t="s">
        <v>66</v>
      </c>
      <c r="C63" s="83"/>
      <c r="D63" s="83"/>
      <c r="E63" s="83"/>
      <c r="F63" s="83"/>
      <c r="G63" s="83"/>
      <c r="H63" s="84" t="n">
        <v>0.01</v>
      </c>
      <c r="I63" s="207" t="n">
        <f aca="false">ROUND(($I$43-$I$38)*H63,2)</f>
        <v>29.69</v>
      </c>
      <c r="K63" s="66"/>
    </row>
    <row r="64" customFormat="false" ht="15.75" hidden="false" customHeight="false" outlineLevel="0" collapsed="false">
      <c r="A64" s="82" t="s">
        <v>14</v>
      </c>
      <c r="B64" s="83" t="s">
        <v>67</v>
      </c>
      <c r="C64" s="83"/>
      <c r="D64" s="83"/>
      <c r="E64" s="83"/>
      <c r="F64" s="83"/>
      <c r="G64" s="83"/>
      <c r="H64" s="86" t="n">
        <v>0.002</v>
      </c>
      <c r="I64" s="207" t="n">
        <f aca="false">ROUND(($I$43-$I$38)*H64,2)</f>
        <v>5.94</v>
      </c>
      <c r="K64" s="66"/>
    </row>
    <row r="65" customFormat="false" ht="15.75" hidden="false" customHeight="false" outlineLevel="0" collapsed="false">
      <c r="A65" s="82" t="s">
        <v>40</v>
      </c>
      <c r="B65" s="83" t="s">
        <v>68</v>
      </c>
      <c r="C65" s="83"/>
      <c r="D65" s="83"/>
      <c r="E65" s="83"/>
      <c r="F65" s="83"/>
      <c r="G65" s="83"/>
      <c r="H65" s="86" t="n">
        <v>0.025</v>
      </c>
      <c r="I65" s="207" t="n">
        <f aca="false">ROUND(($I$43-$I$38)*H65,2)</f>
        <v>74.23</v>
      </c>
      <c r="K65" s="66"/>
    </row>
    <row r="66" customFormat="false" ht="15.75" hidden="false" customHeight="false" outlineLevel="0" collapsed="false">
      <c r="A66" s="82" t="s">
        <v>42</v>
      </c>
      <c r="B66" s="83" t="s">
        <v>69</v>
      </c>
      <c r="C66" s="83"/>
      <c r="D66" s="83"/>
      <c r="E66" s="83"/>
      <c r="F66" s="83"/>
      <c r="G66" s="83"/>
      <c r="H66" s="84" t="n">
        <v>0.08</v>
      </c>
      <c r="I66" s="207" t="n">
        <f aca="false">ROUND(($I$43-$I$38)*H66,2)</f>
        <v>237.55</v>
      </c>
      <c r="K66" s="66"/>
    </row>
    <row r="67" customFormat="false" ht="15.75" hidden="false" customHeight="false" outlineLevel="0" collapsed="false">
      <c r="A67" s="82" t="s">
        <v>70</v>
      </c>
      <c r="B67" s="87" t="s">
        <v>71</v>
      </c>
      <c r="C67" s="87"/>
      <c r="D67" s="87"/>
      <c r="E67" s="87"/>
      <c r="F67" s="88" t="s">
        <v>72</v>
      </c>
      <c r="G67" s="89" t="s">
        <v>196</v>
      </c>
      <c r="H67" s="86" t="n">
        <v>0.015</v>
      </c>
      <c r="I67" s="207" t="n">
        <f aca="false">ROUND(($I$43-$I$38)*H67,2)</f>
        <v>44.54</v>
      </c>
      <c r="K67" s="66"/>
    </row>
    <row r="68" customFormat="false" ht="15.75" hidden="false" customHeight="false" outlineLevel="0" collapsed="false">
      <c r="A68" s="82" t="s">
        <v>74</v>
      </c>
      <c r="B68" s="83" t="s">
        <v>75</v>
      </c>
      <c r="C68" s="83"/>
      <c r="D68" s="83"/>
      <c r="E68" s="83"/>
      <c r="F68" s="83"/>
      <c r="G68" s="83"/>
      <c r="H68" s="86" t="n">
        <v>0.006</v>
      </c>
      <c r="I68" s="207" t="n">
        <f aca="false">ROUND(($I$43-$I$38)*H68,2)</f>
        <v>17.82</v>
      </c>
      <c r="K68" s="66"/>
    </row>
    <row r="69" customFormat="false" ht="15.75" hidden="false" customHeight="false" outlineLevel="0" collapsed="false">
      <c r="A69" s="90" t="s">
        <v>76</v>
      </c>
      <c r="B69" s="90"/>
      <c r="C69" s="90"/>
      <c r="D69" s="90"/>
      <c r="E69" s="90"/>
      <c r="F69" s="90"/>
      <c r="G69" s="90"/>
      <c r="H69" s="91" t="n">
        <f aca="false">SUM(H61:H68)</f>
        <v>0.353</v>
      </c>
      <c r="I69" s="219" t="n">
        <f aca="false">SUM(I61:I68)</f>
        <v>1048.18</v>
      </c>
      <c r="K69" s="66"/>
    </row>
    <row r="70" customFormat="false" ht="15.75" hidden="false" customHeight="false" outlineLevel="0" collapsed="false">
      <c r="A70" s="93" t="s">
        <v>77</v>
      </c>
      <c r="B70" s="93"/>
      <c r="C70" s="93"/>
      <c r="D70" s="93"/>
      <c r="E70" s="93"/>
      <c r="F70" s="93"/>
      <c r="G70" s="93"/>
      <c r="H70" s="93"/>
      <c r="I70" s="93"/>
    </row>
    <row r="71" customFormat="false" ht="15.75" hidden="false" customHeight="false" outlineLevel="0" collapsed="false">
      <c r="A71" s="94" t="s">
        <v>78</v>
      </c>
      <c r="B71" s="94"/>
      <c r="C71" s="94"/>
      <c r="D71" s="94"/>
      <c r="E71" s="94"/>
      <c r="F71" s="94"/>
      <c r="G71" s="94"/>
      <c r="H71" s="94"/>
      <c r="I71" s="94"/>
    </row>
    <row r="72" customFormat="false" ht="15.75" hidden="false" customHeight="false" outlineLevel="0" collapsed="false">
      <c r="A72" s="79" t="s">
        <v>79</v>
      </c>
      <c r="B72" s="79"/>
      <c r="C72" s="79"/>
      <c r="D72" s="79"/>
      <c r="E72" s="79"/>
      <c r="F72" s="79"/>
      <c r="G72" s="79"/>
      <c r="H72" s="79"/>
      <c r="I72" s="79"/>
    </row>
    <row r="73" customFormat="false" ht="15.75" hidden="false" customHeight="false" outlineLevel="0" collapsed="false">
      <c r="A73" s="62" t="s">
        <v>80</v>
      </c>
      <c r="B73" s="81" t="s">
        <v>81</v>
      </c>
      <c r="C73" s="81"/>
      <c r="D73" s="81"/>
      <c r="E73" s="81"/>
      <c r="F73" s="81"/>
      <c r="G73" s="81"/>
      <c r="H73" s="81"/>
      <c r="I73" s="204" t="s">
        <v>35</v>
      </c>
    </row>
    <row r="74" customFormat="false" ht="33.75" hidden="false" customHeight="true" outlineLevel="0" collapsed="false">
      <c r="A74" s="17" t="s">
        <v>8</v>
      </c>
      <c r="B74" s="95" t="s">
        <v>82</v>
      </c>
      <c r="C74" s="95"/>
      <c r="D74" s="95"/>
      <c r="E74" s="95"/>
      <c r="F74" s="95"/>
      <c r="G74" s="95"/>
      <c r="H74" s="95"/>
      <c r="I74" s="220" t="n">
        <f aca="false">ROUND(I43/12,2)</f>
        <v>280.44</v>
      </c>
      <c r="K74" s="66"/>
    </row>
    <row r="75" customFormat="false" ht="15.75" hidden="false" customHeight="false" outlineLevel="0" collapsed="false">
      <c r="A75" s="97" t="s">
        <v>83</v>
      </c>
      <c r="B75" s="97"/>
      <c r="C75" s="97"/>
      <c r="D75" s="97"/>
      <c r="E75" s="97"/>
      <c r="F75" s="97"/>
      <c r="G75" s="97"/>
      <c r="H75" s="97"/>
      <c r="I75" s="207" t="n">
        <f aca="false">SUM(I74:I74)</f>
        <v>280.44</v>
      </c>
      <c r="K75" s="66"/>
    </row>
    <row r="76" customFormat="false" ht="15.75" hidden="false" customHeight="false" outlineLevel="0" collapsed="false">
      <c r="A76" s="17" t="s">
        <v>10</v>
      </c>
      <c r="B76" s="83" t="s">
        <v>84</v>
      </c>
      <c r="C76" s="83"/>
      <c r="D76" s="83"/>
      <c r="E76" s="83"/>
      <c r="F76" s="83"/>
      <c r="G76" s="83"/>
      <c r="H76" s="83"/>
      <c r="I76" s="207" t="n">
        <f aca="false">ROUND(I75*H69,2)</f>
        <v>99</v>
      </c>
      <c r="K76" s="66"/>
    </row>
    <row r="77" customFormat="false" ht="15.75" hidden="false" customHeight="false" outlineLevel="0" collapsed="false">
      <c r="A77" s="60" t="s">
        <v>76</v>
      </c>
      <c r="B77" s="60"/>
      <c r="C77" s="60"/>
      <c r="D77" s="60"/>
      <c r="E77" s="60"/>
      <c r="F77" s="60"/>
      <c r="G77" s="60"/>
      <c r="H77" s="60"/>
      <c r="I77" s="210" t="n">
        <f aca="false">SUM(I75:I76)</f>
        <v>379.44</v>
      </c>
      <c r="K77" s="66"/>
    </row>
    <row r="78" customFormat="false" ht="15.75" hidden="false" customHeight="false" outlineLevel="0" collapsed="false">
      <c r="A78" s="79" t="s">
        <v>85</v>
      </c>
      <c r="B78" s="79"/>
      <c r="C78" s="79"/>
      <c r="D78" s="79"/>
      <c r="E78" s="79"/>
      <c r="F78" s="79"/>
      <c r="G78" s="79"/>
      <c r="H78" s="79"/>
      <c r="I78" s="79"/>
    </row>
    <row r="79" customFormat="false" ht="15.75" hidden="false" customHeight="false" outlineLevel="0" collapsed="false">
      <c r="A79" s="62" t="s">
        <v>86</v>
      </c>
      <c r="B79" s="81" t="s">
        <v>87</v>
      </c>
      <c r="C79" s="81"/>
      <c r="D79" s="81"/>
      <c r="E79" s="81"/>
      <c r="F79" s="81"/>
      <c r="G79" s="81"/>
      <c r="H79" s="81"/>
      <c r="I79" s="204" t="s">
        <v>35</v>
      </c>
    </row>
    <row r="80" customFormat="false" ht="15.75" hidden="false" customHeight="false" outlineLevel="0" collapsed="false">
      <c r="A80" s="17" t="s">
        <v>8</v>
      </c>
      <c r="B80" s="52" t="s">
        <v>88</v>
      </c>
      <c r="C80" s="52"/>
      <c r="D80" s="52"/>
      <c r="E80" s="52"/>
      <c r="F80" s="52"/>
      <c r="G80" s="52"/>
      <c r="H80" s="52"/>
      <c r="I80" s="75" t="n">
        <f aca="false">ROUND((((I43+I43/3)*(4/12))/12)*0.02,2)</f>
        <v>2.49</v>
      </c>
    </row>
    <row r="81" customFormat="false" ht="15.75" hidden="false" customHeight="false" outlineLevel="0" collapsed="false">
      <c r="A81" s="17" t="s">
        <v>10</v>
      </c>
      <c r="B81" s="83" t="s">
        <v>89</v>
      </c>
      <c r="C81" s="83"/>
      <c r="D81" s="83"/>
      <c r="E81" s="83"/>
      <c r="F81" s="83"/>
      <c r="G81" s="83"/>
      <c r="H81" s="83"/>
      <c r="I81" s="75" t="n">
        <f aca="false">ROUND(I80*H69,2)</f>
        <v>0.88</v>
      </c>
    </row>
    <row r="82" customFormat="false" ht="15.75" hidden="false" customHeight="false" outlineLevel="0" collapsed="false">
      <c r="A82" s="60" t="s">
        <v>76</v>
      </c>
      <c r="B82" s="60"/>
      <c r="C82" s="60"/>
      <c r="D82" s="60"/>
      <c r="E82" s="60"/>
      <c r="F82" s="60"/>
      <c r="G82" s="60"/>
      <c r="H82" s="60"/>
      <c r="I82" s="210" t="n">
        <f aca="false">SUM(I80:I81)</f>
        <v>3.37</v>
      </c>
    </row>
    <row r="83" customFormat="false" ht="15.75" hidden="false" customHeight="false" outlineLevel="0" collapsed="false">
      <c r="A83" s="79" t="s">
        <v>90</v>
      </c>
      <c r="B83" s="79"/>
      <c r="C83" s="79"/>
      <c r="D83" s="79"/>
      <c r="E83" s="79"/>
      <c r="F83" s="79"/>
      <c r="G83" s="79"/>
      <c r="H83" s="79"/>
      <c r="I83" s="79"/>
    </row>
    <row r="84" customFormat="false" ht="15.75" hidden="false" customHeight="false" outlineLevel="0" collapsed="false">
      <c r="A84" s="62" t="s">
        <v>91</v>
      </c>
      <c r="B84" s="81" t="s">
        <v>92</v>
      </c>
      <c r="C84" s="81"/>
      <c r="D84" s="81"/>
      <c r="E84" s="81"/>
      <c r="F84" s="81"/>
      <c r="G84" s="81"/>
      <c r="H84" s="81"/>
      <c r="I84" s="204" t="s">
        <v>35</v>
      </c>
    </row>
    <row r="85" customFormat="false" ht="25.5" hidden="false" customHeight="true" outlineLevel="0" collapsed="false">
      <c r="A85" s="17" t="s">
        <v>8</v>
      </c>
      <c r="B85" s="99" t="s">
        <v>93</v>
      </c>
      <c r="C85" s="99"/>
      <c r="D85" s="99"/>
      <c r="E85" s="99"/>
      <c r="F85" s="99"/>
      <c r="G85" s="99"/>
      <c r="H85" s="99"/>
      <c r="I85" s="207" t="n">
        <f aca="false">ROUND((I43/12)*(30/30)*0.05,2)</f>
        <v>14.02</v>
      </c>
    </row>
    <row r="86" customFormat="false" ht="15.75" hidden="false" customHeight="true" outlineLevel="0" collapsed="false">
      <c r="A86" s="17" t="s">
        <v>10</v>
      </c>
      <c r="B86" s="83" t="s">
        <v>94</v>
      </c>
      <c r="C86" s="83"/>
      <c r="D86" s="83"/>
      <c r="E86" s="83"/>
      <c r="F86" s="83"/>
      <c r="G86" s="83"/>
      <c r="H86" s="83"/>
      <c r="I86" s="207" t="n">
        <f aca="false">ROUND(I85*H66,2)</f>
        <v>1.12</v>
      </c>
    </row>
    <row r="87" customFormat="false" ht="49.5" hidden="false" customHeight="true" outlineLevel="0" collapsed="false">
      <c r="A87" s="17" t="s">
        <v>12</v>
      </c>
      <c r="B87" s="95" t="s">
        <v>95</v>
      </c>
      <c r="C87" s="95"/>
      <c r="D87" s="95"/>
      <c r="E87" s="95"/>
      <c r="F87" s="95"/>
      <c r="G87" s="95"/>
      <c r="H87" s="95"/>
      <c r="I87" s="220" t="n">
        <f aca="false">ROUND(0.0024*I43,2)</f>
        <v>8.08</v>
      </c>
      <c r="K87" s="66"/>
    </row>
    <row r="88" customFormat="false" ht="30.75" hidden="false" customHeight="true" outlineLevel="0" collapsed="false">
      <c r="A88" s="100" t="s">
        <v>14</v>
      </c>
      <c r="B88" s="99" t="s">
        <v>96</v>
      </c>
      <c r="C88" s="99"/>
      <c r="D88" s="99"/>
      <c r="E88" s="99"/>
      <c r="F88" s="99"/>
      <c r="G88" s="99"/>
      <c r="H88" s="99"/>
      <c r="I88" s="207" t="n">
        <v>0</v>
      </c>
      <c r="N88" s="101"/>
    </row>
    <row r="89" customFormat="false" ht="18" hidden="false" customHeight="true" outlineLevel="0" collapsed="false">
      <c r="A89" s="17" t="s">
        <v>40</v>
      </c>
      <c r="B89" s="83" t="s">
        <v>97</v>
      </c>
      <c r="C89" s="83"/>
      <c r="D89" s="83"/>
      <c r="E89" s="83"/>
      <c r="F89" s="83"/>
      <c r="G89" s="83"/>
      <c r="H89" s="83"/>
      <c r="I89" s="207" t="n">
        <f aca="false">ROUND(I88*H69,2)</f>
        <v>0</v>
      </c>
      <c r="J89" s="13"/>
      <c r="K89" s="13"/>
      <c r="L89" s="102"/>
    </row>
    <row r="90" customFormat="false" ht="48.75" hidden="false" customHeight="true" outlineLevel="0" collapsed="false">
      <c r="A90" s="17" t="s">
        <v>42</v>
      </c>
      <c r="B90" s="95" t="s">
        <v>98</v>
      </c>
      <c r="C90" s="95"/>
      <c r="D90" s="95"/>
      <c r="E90" s="95"/>
      <c r="F90" s="95"/>
      <c r="G90" s="95"/>
      <c r="H90" s="95"/>
      <c r="I90" s="220" t="n">
        <f aca="false">ROUND(0.0476*I43,2)</f>
        <v>160.19</v>
      </c>
      <c r="J90" s="13"/>
      <c r="K90" s="66"/>
      <c r="L90" s="13"/>
    </row>
    <row r="91" customFormat="false" ht="20.25" hidden="false" customHeight="true" outlineLevel="0" collapsed="false">
      <c r="A91" s="60" t="s">
        <v>76</v>
      </c>
      <c r="B91" s="60"/>
      <c r="C91" s="60"/>
      <c r="D91" s="60"/>
      <c r="E91" s="60"/>
      <c r="F91" s="60"/>
      <c r="G91" s="60"/>
      <c r="H91" s="60"/>
      <c r="I91" s="210" t="n">
        <f aca="false">SUM(I85:I90)</f>
        <v>183.41</v>
      </c>
    </row>
    <row r="92" customFormat="false" ht="20.25" hidden="false" customHeight="true" outlineLevel="0" collapsed="false">
      <c r="A92" s="79" t="s">
        <v>99</v>
      </c>
      <c r="B92" s="79"/>
      <c r="C92" s="79"/>
      <c r="D92" s="79"/>
      <c r="E92" s="79"/>
      <c r="F92" s="79"/>
      <c r="G92" s="79"/>
      <c r="H92" s="79"/>
      <c r="I92" s="79"/>
    </row>
    <row r="93" customFormat="false" ht="15.75" hidden="false" customHeight="false" outlineLevel="0" collapsed="false">
      <c r="A93" s="62" t="s">
        <v>100</v>
      </c>
      <c r="B93" s="81" t="s">
        <v>101</v>
      </c>
      <c r="C93" s="81"/>
      <c r="D93" s="81"/>
      <c r="E93" s="81"/>
      <c r="F93" s="81"/>
      <c r="G93" s="81"/>
      <c r="H93" s="81"/>
      <c r="I93" s="204" t="s">
        <v>35</v>
      </c>
    </row>
    <row r="94" customFormat="false" ht="49.5" hidden="false" customHeight="true" outlineLevel="0" collapsed="false">
      <c r="A94" s="17" t="s">
        <v>8</v>
      </c>
      <c r="B94" s="95" t="s">
        <v>102</v>
      </c>
      <c r="C94" s="95"/>
      <c r="D94" s="95"/>
      <c r="E94" s="95"/>
      <c r="F94" s="95"/>
      <c r="G94" s="95"/>
      <c r="H94" s="95"/>
      <c r="I94" s="220" t="n">
        <f aca="false">ROUND(0.121*I43,2)</f>
        <v>407.21</v>
      </c>
      <c r="K94" s="66"/>
    </row>
    <row r="95" customFormat="false" ht="17.25" hidden="false" customHeight="true" outlineLevel="0" collapsed="false">
      <c r="A95" s="17" t="s">
        <v>10</v>
      </c>
      <c r="B95" s="52" t="s">
        <v>103</v>
      </c>
      <c r="C95" s="52"/>
      <c r="D95" s="52"/>
      <c r="E95" s="52"/>
      <c r="F95" s="52"/>
      <c r="G95" s="52"/>
      <c r="H95" s="52"/>
      <c r="I95" s="207" t="n">
        <f aca="false">ROUND(((I43/30)*5)/12,2)</f>
        <v>46.74</v>
      </c>
    </row>
    <row r="96" customFormat="false" ht="16.5" hidden="false" customHeight="true" outlineLevel="0" collapsed="false">
      <c r="A96" s="17" t="s">
        <v>12</v>
      </c>
      <c r="B96" s="52" t="s">
        <v>104</v>
      </c>
      <c r="C96" s="52"/>
      <c r="D96" s="52"/>
      <c r="E96" s="52"/>
      <c r="F96" s="52"/>
      <c r="G96" s="52"/>
      <c r="H96" s="52"/>
      <c r="I96" s="207" t="n">
        <f aca="false">ROUND((((I43/30)*5)/12)*0.015,2)</f>
        <v>0.7</v>
      </c>
    </row>
    <row r="97" customFormat="false" ht="17.25" hidden="false" customHeight="true" outlineLevel="0" collapsed="false">
      <c r="A97" s="17" t="s">
        <v>14</v>
      </c>
      <c r="B97" s="52" t="s">
        <v>105</v>
      </c>
      <c r="C97" s="52"/>
      <c r="D97" s="52"/>
      <c r="E97" s="52"/>
      <c r="F97" s="52"/>
      <c r="G97" s="52"/>
      <c r="H97" s="52"/>
      <c r="I97" s="207" t="n">
        <f aca="false">ROUND(((I43/30)*2.96)/12,2)</f>
        <v>27.67</v>
      </c>
    </row>
    <row r="98" customFormat="false" ht="16.5" hidden="false" customHeight="true" outlineLevel="0" collapsed="false">
      <c r="A98" s="17" t="s">
        <v>40</v>
      </c>
      <c r="B98" s="52" t="s">
        <v>106</v>
      </c>
      <c r="C98" s="52"/>
      <c r="D98" s="52"/>
      <c r="E98" s="52"/>
      <c r="F98" s="52"/>
      <c r="G98" s="52"/>
      <c r="H98" s="52"/>
      <c r="I98" s="207" t="n">
        <f aca="false">ROUND((((I43/30)*15)/12)*0.0078,2)</f>
        <v>1.09</v>
      </c>
    </row>
    <row r="99" customFormat="false" ht="15.75" hidden="false" customHeight="false" outlineLevel="0" collapsed="false">
      <c r="A99" s="97" t="s">
        <v>83</v>
      </c>
      <c r="B99" s="97"/>
      <c r="C99" s="97"/>
      <c r="D99" s="97"/>
      <c r="E99" s="97"/>
      <c r="F99" s="97"/>
      <c r="G99" s="97"/>
      <c r="H99" s="97"/>
      <c r="I99" s="223" t="n">
        <f aca="false">SUM(I94:I98)</f>
        <v>483.41</v>
      </c>
      <c r="K99" s="66"/>
    </row>
    <row r="100" customFormat="false" ht="18" hidden="false" customHeight="true" outlineLevel="0" collapsed="false">
      <c r="A100" s="17" t="s">
        <v>70</v>
      </c>
      <c r="B100" s="83" t="s">
        <v>107</v>
      </c>
      <c r="C100" s="83"/>
      <c r="D100" s="83"/>
      <c r="E100" s="83"/>
      <c r="F100" s="83"/>
      <c r="G100" s="83"/>
      <c r="H100" s="83"/>
      <c r="I100" s="224" t="n">
        <f aca="false">ROUND(I99*H69,2)</f>
        <v>170.64</v>
      </c>
      <c r="K100" s="66"/>
    </row>
    <row r="101" customFormat="false" ht="15.75" hidden="false" customHeight="false" outlineLevel="0" collapsed="false">
      <c r="A101" s="60" t="s">
        <v>76</v>
      </c>
      <c r="B101" s="60"/>
      <c r="C101" s="60"/>
      <c r="D101" s="60"/>
      <c r="E101" s="60"/>
      <c r="F101" s="60"/>
      <c r="G101" s="60"/>
      <c r="H101" s="60"/>
      <c r="I101" s="210" t="n">
        <f aca="false">SUM(I99+I100)</f>
        <v>654.05</v>
      </c>
      <c r="K101" s="66"/>
    </row>
    <row r="102" customFormat="false" ht="15.75" hidden="false" customHeight="false" outlineLevel="0" collapsed="false">
      <c r="A102" s="104" t="s">
        <v>108</v>
      </c>
      <c r="B102" s="104"/>
      <c r="C102" s="104"/>
      <c r="D102" s="104"/>
      <c r="E102" s="104"/>
      <c r="F102" s="104"/>
      <c r="G102" s="104"/>
      <c r="H102" s="104"/>
      <c r="I102" s="104"/>
    </row>
    <row r="103" customFormat="false" ht="15.75" hidden="false" customHeight="false" outlineLevel="0" collapsed="false">
      <c r="A103" s="62" t="n">
        <v>4</v>
      </c>
      <c r="B103" s="81" t="s">
        <v>109</v>
      </c>
      <c r="C103" s="81"/>
      <c r="D103" s="81"/>
      <c r="E103" s="81"/>
      <c r="F103" s="81"/>
      <c r="G103" s="81"/>
      <c r="H103" s="81"/>
      <c r="I103" s="204" t="s">
        <v>35</v>
      </c>
    </row>
    <row r="104" customFormat="false" ht="15.75" hidden="false" customHeight="false" outlineLevel="0" collapsed="false">
      <c r="A104" s="17" t="s">
        <v>61</v>
      </c>
      <c r="B104" s="83" t="s">
        <v>62</v>
      </c>
      <c r="C104" s="83"/>
      <c r="D104" s="83"/>
      <c r="E104" s="83"/>
      <c r="F104" s="83"/>
      <c r="G104" s="83"/>
      <c r="H104" s="83"/>
      <c r="I104" s="75" t="n">
        <f aca="false">I69</f>
        <v>1048.18</v>
      </c>
    </row>
    <row r="105" customFormat="false" ht="15.75" hidden="false" customHeight="false" outlineLevel="0" collapsed="false">
      <c r="A105" s="17" t="s">
        <v>80</v>
      </c>
      <c r="B105" s="83" t="s">
        <v>110</v>
      </c>
      <c r="C105" s="83"/>
      <c r="D105" s="83"/>
      <c r="E105" s="83"/>
      <c r="F105" s="83"/>
      <c r="G105" s="83"/>
      <c r="H105" s="83"/>
      <c r="I105" s="75" t="n">
        <f aca="false">I77</f>
        <v>379.44</v>
      </c>
    </row>
    <row r="106" customFormat="false" ht="15.75" hidden="false" customHeight="false" outlineLevel="0" collapsed="false">
      <c r="A106" s="17" t="s">
        <v>86</v>
      </c>
      <c r="B106" s="83" t="s">
        <v>87</v>
      </c>
      <c r="C106" s="83"/>
      <c r="D106" s="83"/>
      <c r="E106" s="83"/>
      <c r="F106" s="83"/>
      <c r="G106" s="83"/>
      <c r="H106" s="83"/>
      <c r="I106" s="75" t="n">
        <f aca="false">I82</f>
        <v>3.37</v>
      </c>
    </row>
    <row r="107" customFormat="false" ht="15.75" hidden="false" customHeight="false" outlineLevel="0" collapsed="false">
      <c r="A107" s="17" t="s">
        <v>91</v>
      </c>
      <c r="B107" s="83" t="s">
        <v>111</v>
      </c>
      <c r="C107" s="83"/>
      <c r="D107" s="83"/>
      <c r="E107" s="83"/>
      <c r="F107" s="83"/>
      <c r="G107" s="83"/>
      <c r="H107" s="83"/>
      <c r="I107" s="75" t="n">
        <f aca="false">I91</f>
        <v>183.41</v>
      </c>
    </row>
    <row r="108" customFormat="false" ht="15.75" hidden="false" customHeight="false" outlineLevel="0" collapsed="false">
      <c r="A108" s="17" t="s">
        <v>100</v>
      </c>
      <c r="B108" s="83" t="s">
        <v>112</v>
      </c>
      <c r="C108" s="83"/>
      <c r="D108" s="83"/>
      <c r="E108" s="83"/>
      <c r="F108" s="83"/>
      <c r="G108" s="83"/>
      <c r="H108" s="83"/>
      <c r="I108" s="75" t="n">
        <f aca="false">I101</f>
        <v>654.05</v>
      </c>
    </row>
    <row r="109" customFormat="false" ht="15.75" hidden="false" customHeight="false" outlineLevel="0" collapsed="false">
      <c r="A109" s="60" t="s">
        <v>76</v>
      </c>
      <c r="B109" s="60"/>
      <c r="C109" s="60"/>
      <c r="D109" s="60"/>
      <c r="E109" s="60"/>
      <c r="F109" s="60"/>
      <c r="G109" s="60"/>
      <c r="H109" s="60"/>
      <c r="I109" s="210" t="n">
        <f aca="false">SUM(I104:I108)</f>
        <v>2268.45</v>
      </c>
      <c r="K109" s="106"/>
    </row>
    <row r="110" customFormat="false" ht="16.5" hidden="false" customHeight="true" outlineLevel="0" collapsed="false">
      <c r="A110" s="107" t="s">
        <v>113</v>
      </c>
      <c r="B110" s="107"/>
      <c r="C110" s="107"/>
      <c r="D110" s="107"/>
      <c r="E110" s="107"/>
      <c r="F110" s="107"/>
      <c r="G110" s="107"/>
      <c r="H110" s="107"/>
      <c r="I110" s="107"/>
    </row>
    <row r="111" customFormat="false" ht="15.75" hidden="false" customHeight="false" outlineLevel="0" collapsed="false">
      <c r="A111" s="62" t="n">
        <v>5</v>
      </c>
      <c r="B111" s="63" t="s">
        <v>114</v>
      </c>
      <c r="C111" s="63"/>
      <c r="D111" s="63"/>
      <c r="E111" s="63"/>
      <c r="F111" s="63"/>
      <c r="G111" s="63"/>
      <c r="H111" s="108" t="s">
        <v>63</v>
      </c>
      <c r="I111" s="204" t="s">
        <v>35</v>
      </c>
    </row>
    <row r="112" customFormat="false" ht="44.25" hidden="false" customHeight="true" outlineLevel="0" collapsed="false">
      <c r="A112" s="109" t="s">
        <v>115</v>
      </c>
      <c r="B112" s="109"/>
      <c r="C112" s="109"/>
      <c r="D112" s="109"/>
      <c r="E112" s="109"/>
      <c r="F112" s="109"/>
      <c r="G112" s="109"/>
      <c r="H112" s="110" t="n">
        <v>0</v>
      </c>
      <c r="I112" s="226" t="n">
        <f aca="false">(I43+I52+I57+I109)</f>
        <v>6653.60825</v>
      </c>
    </row>
    <row r="113" customFormat="false" ht="15.75" hidden="false" customHeight="false" outlineLevel="0" collapsed="false">
      <c r="A113" s="17" t="s">
        <v>8</v>
      </c>
      <c r="B113" s="83" t="s">
        <v>116</v>
      </c>
      <c r="C113" s="83"/>
      <c r="D113" s="83"/>
      <c r="E113" s="83"/>
      <c r="F113" s="83"/>
      <c r="G113" s="83"/>
      <c r="H113" s="112" t="n">
        <f aca="false">'São Borja 8.1'!H112</f>
        <v>0.1207</v>
      </c>
      <c r="I113" s="207" t="n">
        <f aca="false">ROUND(I112*H113,2)</f>
        <v>803.09</v>
      </c>
      <c r="J113" s="113"/>
    </row>
    <row r="114" customFormat="false" ht="45.75" hidden="false" customHeight="true" outlineLevel="0" collapsed="false">
      <c r="A114" s="109" t="s">
        <v>117</v>
      </c>
      <c r="B114" s="109"/>
      <c r="C114" s="109"/>
      <c r="D114" s="109"/>
      <c r="E114" s="109"/>
      <c r="F114" s="109"/>
      <c r="G114" s="109"/>
      <c r="H114" s="114" t="n">
        <v>0</v>
      </c>
      <c r="I114" s="228" t="n">
        <f aca="false">I112+I113</f>
        <v>7456.69825</v>
      </c>
      <c r="J114" s="113"/>
    </row>
    <row r="115" customFormat="false" ht="15.75" hidden="false" customHeight="false" outlineLevel="0" collapsed="false">
      <c r="A115" s="17" t="s">
        <v>10</v>
      </c>
      <c r="B115" s="83" t="s">
        <v>118</v>
      </c>
      <c r="C115" s="83"/>
      <c r="D115" s="83"/>
      <c r="E115" s="83"/>
      <c r="F115" s="83"/>
      <c r="G115" s="83"/>
      <c r="H115" s="112" t="n">
        <f aca="false">'São Borja 8.1'!H114</f>
        <v>0.0818</v>
      </c>
      <c r="I115" s="207" t="n">
        <f aca="false">ROUND(I114*H115,2)</f>
        <v>609.96</v>
      </c>
      <c r="J115" s="116"/>
    </row>
    <row r="116" customFormat="false" ht="46.5" hidden="false" customHeight="true" outlineLevel="0" collapsed="false">
      <c r="A116" s="109" t="s">
        <v>119</v>
      </c>
      <c r="B116" s="109"/>
      <c r="C116" s="109"/>
      <c r="D116" s="109"/>
      <c r="E116" s="109"/>
      <c r="F116" s="109"/>
      <c r="G116" s="109"/>
      <c r="H116" s="117" t="n">
        <v>0</v>
      </c>
      <c r="I116" s="231" t="n">
        <f aca="false">I114+I115</f>
        <v>8066.65825</v>
      </c>
      <c r="J116" s="116"/>
    </row>
    <row r="117" customFormat="false" ht="15.75" hidden="false" customHeight="false" outlineLevel="0" collapsed="false">
      <c r="A117" s="17" t="s">
        <v>12</v>
      </c>
      <c r="B117" s="83" t="s">
        <v>120</v>
      </c>
      <c r="C117" s="83"/>
      <c r="D117" s="83"/>
      <c r="E117" s="83"/>
      <c r="F117" s="83"/>
      <c r="G117" s="83"/>
      <c r="H117" s="119" t="s">
        <v>198</v>
      </c>
      <c r="I117" s="232" t="s">
        <v>198</v>
      </c>
      <c r="J117" s="116"/>
    </row>
    <row r="118" customFormat="false" ht="15.75" hidden="false" customHeight="false" outlineLevel="0" collapsed="false">
      <c r="A118" s="17"/>
      <c r="B118" s="83" t="s">
        <v>121</v>
      </c>
      <c r="C118" s="83"/>
      <c r="D118" s="83"/>
      <c r="E118" s="83"/>
      <c r="F118" s="83"/>
      <c r="G118" s="83"/>
      <c r="H118" s="119" t="s">
        <v>198</v>
      </c>
      <c r="I118" s="232" t="s">
        <v>198</v>
      </c>
    </row>
    <row r="119" customFormat="false" ht="28.5" hidden="false" customHeight="true" outlineLevel="0" collapsed="false">
      <c r="A119" s="17"/>
      <c r="B119" s="67" t="s">
        <v>199</v>
      </c>
      <c r="C119" s="67"/>
      <c r="D119" s="67"/>
      <c r="E119" s="67"/>
      <c r="F119" s="67"/>
      <c r="G119" s="67"/>
      <c r="H119" s="121" t="n">
        <v>0.03</v>
      </c>
      <c r="I119" s="207" t="n">
        <f aca="false">ROUND(($I$116/(1-H126))*H119,2)</f>
        <v>264.91</v>
      </c>
    </row>
    <row r="120" customFormat="false" ht="29.25" hidden="false" customHeight="true" outlineLevel="0" collapsed="false">
      <c r="A120" s="17"/>
      <c r="B120" s="67" t="s">
        <v>200</v>
      </c>
      <c r="C120" s="67"/>
      <c r="D120" s="67"/>
      <c r="E120" s="67"/>
      <c r="F120" s="67"/>
      <c r="G120" s="67"/>
      <c r="H120" s="121" t="n">
        <v>0.0065</v>
      </c>
      <c r="I120" s="207" t="n">
        <f aca="false">ROUND(($I$116/(1-H126))*H120,2)</f>
        <v>57.4</v>
      </c>
      <c r="K120" s="66"/>
    </row>
    <row r="121" customFormat="false" ht="29.25" hidden="false" customHeight="true" outlineLevel="0" collapsed="false">
      <c r="A121" s="17"/>
      <c r="B121" s="122" t="s">
        <v>124</v>
      </c>
      <c r="C121" s="122"/>
      <c r="D121" s="122"/>
      <c r="E121" s="122"/>
      <c r="F121" s="122"/>
      <c r="G121" s="122"/>
      <c r="H121" s="121" t="s">
        <v>198</v>
      </c>
      <c r="I121" s="232" t="s">
        <v>198</v>
      </c>
      <c r="K121" s="66"/>
    </row>
    <row r="122" customFormat="false" ht="15.75" hidden="false" customHeight="false" outlineLevel="0" collapsed="false">
      <c r="A122" s="17"/>
      <c r="B122" s="83" t="s">
        <v>125</v>
      </c>
      <c r="C122" s="83"/>
      <c r="D122" s="83"/>
      <c r="E122" s="83"/>
      <c r="F122" s="83"/>
      <c r="G122" s="83"/>
      <c r="H122" s="119" t="s">
        <v>198</v>
      </c>
      <c r="I122" s="232" t="s">
        <v>198</v>
      </c>
    </row>
    <row r="123" customFormat="false" ht="15.75" hidden="false" customHeight="false" outlineLevel="0" collapsed="false">
      <c r="A123" s="17"/>
      <c r="B123" s="83" t="s">
        <v>126</v>
      </c>
      <c r="C123" s="83"/>
      <c r="D123" s="83"/>
      <c r="E123" s="83"/>
      <c r="F123" s="83"/>
      <c r="G123" s="83"/>
      <c r="H123" s="119" t="s">
        <v>198</v>
      </c>
      <c r="I123" s="232" t="s">
        <v>198</v>
      </c>
      <c r="K123" s="66"/>
    </row>
    <row r="124" customFormat="false" ht="15.75" hidden="false" customHeight="false" outlineLevel="0" collapsed="false">
      <c r="A124" s="17"/>
      <c r="B124" s="52" t="s">
        <v>292</v>
      </c>
      <c r="C124" s="52"/>
      <c r="D124" s="52"/>
      <c r="E124" s="52"/>
      <c r="F124" s="52"/>
      <c r="G124" s="52"/>
      <c r="H124" s="124" t="n">
        <v>0.05</v>
      </c>
      <c r="I124" s="207" t="n">
        <f aca="false">ROUND(($I$116/(1-H126))*H124,2)</f>
        <v>441.52</v>
      </c>
    </row>
    <row r="125" customFormat="false" ht="15.75" hidden="false" customHeight="false" outlineLevel="0" collapsed="false">
      <c r="A125" s="125" t="s">
        <v>76</v>
      </c>
      <c r="B125" s="125"/>
      <c r="C125" s="125"/>
      <c r="D125" s="125"/>
      <c r="E125" s="125"/>
      <c r="F125" s="125"/>
      <c r="G125" s="125"/>
      <c r="H125" s="125"/>
      <c r="I125" s="234" t="n">
        <f aca="false">I113+I115+I119+I120+I124</f>
        <v>2176.88</v>
      </c>
    </row>
    <row r="126" customFormat="false" ht="15.75" hidden="false" customHeight="false" outlineLevel="0" collapsed="false">
      <c r="A126" s="127" t="s">
        <v>128</v>
      </c>
      <c r="B126" s="127"/>
      <c r="C126" s="127"/>
      <c r="D126" s="127"/>
      <c r="E126" s="127"/>
      <c r="F126" s="127"/>
      <c r="G126" s="127"/>
      <c r="H126" s="128" t="n">
        <f aca="false">SUM(H119:H124)</f>
        <v>0.0865</v>
      </c>
      <c r="I126" s="235" t="n">
        <f aca="false">SUM(I119+I120+I124)</f>
        <v>763.83</v>
      </c>
    </row>
    <row r="127" customFormat="false" ht="15.75" hidden="false" customHeight="false" outlineLevel="0" collapsed="false">
      <c r="A127" s="130" t="s">
        <v>129</v>
      </c>
      <c r="B127" s="130"/>
      <c r="C127" s="293" t="s">
        <v>130</v>
      </c>
      <c r="D127" s="293"/>
      <c r="E127" s="293"/>
      <c r="F127" s="293"/>
      <c r="G127" s="293"/>
      <c r="H127" s="293"/>
      <c r="I127" s="293"/>
    </row>
    <row r="128" customFormat="false" ht="15" hidden="false" customHeight="false" outlineLevel="0" collapsed="false">
      <c r="A128" s="130"/>
      <c r="B128" s="130"/>
      <c r="C128" s="294" t="s">
        <v>131</v>
      </c>
      <c r="D128" s="294"/>
      <c r="E128" s="294"/>
      <c r="F128" s="294"/>
      <c r="G128" s="294"/>
      <c r="H128" s="294"/>
      <c r="I128" s="294"/>
    </row>
    <row r="129" customFormat="false" ht="15.75" hidden="false" customHeight="false" outlineLevel="0" collapsed="false">
      <c r="A129" s="133" t="s">
        <v>132</v>
      </c>
      <c r="B129" s="133"/>
      <c r="C129" s="133"/>
      <c r="D129" s="133"/>
      <c r="E129" s="133"/>
      <c r="F129" s="133"/>
      <c r="G129" s="133"/>
      <c r="H129" s="133"/>
      <c r="I129" s="133"/>
    </row>
    <row r="130" customFormat="false" ht="15.75" hidden="false" customHeight="false" outlineLevel="0" collapsed="false">
      <c r="A130" s="94" t="s">
        <v>133</v>
      </c>
      <c r="B130" s="94"/>
      <c r="C130" s="94"/>
      <c r="D130" s="94"/>
      <c r="E130" s="94"/>
      <c r="F130" s="94"/>
      <c r="G130" s="94"/>
      <c r="H130" s="94"/>
      <c r="I130" s="94"/>
    </row>
    <row r="131" customFormat="false" ht="15.75" hidden="false" customHeight="false" outlineLevel="0" collapsed="false">
      <c r="A131" s="295"/>
      <c r="B131" s="295"/>
      <c r="C131" s="295"/>
      <c r="D131" s="295"/>
      <c r="E131" s="295"/>
      <c r="F131" s="295"/>
      <c r="G131" s="295"/>
      <c r="H131" s="295"/>
      <c r="I131" s="295"/>
    </row>
    <row r="132" customFormat="false" ht="15.75" hidden="false" customHeight="false" outlineLevel="0" collapsed="false">
      <c r="A132" s="33" t="s">
        <v>134</v>
      </c>
      <c r="B132" s="33"/>
      <c r="C132" s="33"/>
      <c r="D132" s="33"/>
      <c r="E132" s="33"/>
      <c r="F132" s="33"/>
      <c r="G132" s="33"/>
      <c r="H132" s="33"/>
      <c r="I132" s="33"/>
    </row>
    <row r="133" customFormat="false" ht="15.75" hidden="false" customHeight="false" outlineLevel="0" collapsed="false">
      <c r="A133" s="135" t="s">
        <v>135</v>
      </c>
      <c r="B133" s="135"/>
      <c r="C133" s="135"/>
      <c r="D133" s="135"/>
      <c r="E133" s="135"/>
      <c r="F133" s="135"/>
      <c r="G133" s="135"/>
      <c r="H133" s="135"/>
      <c r="I133" s="135"/>
    </row>
    <row r="134" customFormat="false" ht="15.75" hidden="false" customHeight="false" outlineLevel="0" collapsed="false">
      <c r="A134" s="136" t="s">
        <v>136</v>
      </c>
      <c r="B134" s="136"/>
      <c r="C134" s="136"/>
      <c r="D134" s="136"/>
      <c r="E134" s="136"/>
      <c r="F134" s="136"/>
      <c r="G134" s="136"/>
      <c r="H134" s="136"/>
      <c r="I134" s="313" t="s">
        <v>35</v>
      </c>
    </row>
    <row r="135" customFormat="false" ht="15.75" hidden="false" customHeight="false" outlineLevel="0" collapsed="false">
      <c r="A135" s="14" t="s">
        <v>8</v>
      </c>
      <c r="B135" s="15" t="s">
        <v>137</v>
      </c>
      <c r="C135" s="15"/>
      <c r="D135" s="15"/>
      <c r="E135" s="15"/>
      <c r="F135" s="15"/>
      <c r="G135" s="15"/>
      <c r="H135" s="15"/>
      <c r="I135" s="314" t="n">
        <f aca="false">I43</f>
        <v>3365.332</v>
      </c>
    </row>
    <row r="136" customFormat="false" ht="15.75" hidden="false" customHeight="false" outlineLevel="0" collapsed="false">
      <c r="A136" s="14" t="s">
        <v>10</v>
      </c>
      <c r="B136" s="15" t="s">
        <v>138</v>
      </c>
      <c r="C136" s="15"/>
      <c r="D136" s="15"/>
      <c r="E136" s="15"/>
      <c r="F136" s="15"/>
      <c r="G136" s="15"/>
      <c r="H136" s="15"/>
      <c r="I136" s="314" t="n">
        <f aca="false">I52</f>
        <v>882.15</v>
      </c>
    </row>
    <row r="137" customFormat="false" ht="15.75" hidden="false" customHeight="false" outlineLevel="0" collapsed="false">
      <c r="A137" s="14" t="s">
        <v>12</v>
      </c>
      <c r="B137" s="15" t="s">
        <v>139</v>
      </c>
      <c r="C137" s="15"/>
      <c r="D137" s="15"/>
      <c r="E137" s="15"/>
      <c r="F137" s="15"/>
      <c r="G137" s="15"/>
      <c r="H137" s="15"/>
      <c r="I137" s="315" t="n">
        <f aca="false">I57</f>
        <v>137.67625</v>
      </c>
    </row>
    <row r="138" customFormat="false" ht="15.75" hidden="false" customHeight="false" outlineLevel="0" collapsed="false">
      <c r="A138" s="14" t="s">
        <v>14</v>
      </c>
      <c r="B138" s="15" t="s">
        <v>109</v>
      </c>
      <c r="C138" s="15"/>
      <c r="D138" s="15"/>
      <c r="E138" s="15"/>
      <c r="F138" s="15"/>
      <c r="G138" s="15"/>
      <c r="H138" s="15"/>
      <c r="I138" s="314" t="n">
        <f aca="false">I109</f>
        <v>2268.45</v>
      </c>
    </row>
    <row r="139" customFormat="false" ht="15.75" hidden="false" customHeight="false" outlineLevel="0" collapsed="false">
      <c r="A139" s="140" t="s">
        <v>140</v>
      </c>
      <c r="B139" s="140"/>
      <c r="C139" s="140"/>
      <c r="D139" s="140"/>
      <c r="E139" s="140"/>
      <c r="F139" s="140"/>
      <c r="G139" s="140"/>
      <c r="H139" s="140"/>
      <c r="I139" s="316" t="n">
        <f aca="false">SUM(I135:I138)</f>
        <v>6653.60825</v>
      </c>
    </row>
    <row r="140" customFormat="false" ht="15.75" hidden="false" customHeight="false" outlineLevel="0" collapsed="false">
      <c r="A140" s="14" t="s">
        <v>40</v>
      </c>
      <c r="B140" s="15" t="s">
        <v>141</v>
      </c>
      <c r="C140" s="15"/>
      <c r="D140" s="15"/>
      <c r="E140" s="15"/>
      <c r="F140" s="15"/>
      <c r="G140" s="15"/>
      <c r="H140" s="15"/>
      <c r="I140" s="314" t="n">
        <f aca="false">I125</f>
        <v>2176.88</v>
      </c>
    </row>
    <row r="141" customFormat="false" ht="15.75" hidden="false" customHeight="false" outlineLevel="0" collapsed="false">
      <c r="A141" s="143" t="s">
        <v>142</v>
      </c>
      <c r="B141" s="143"/>
      <c r="C141" s="143"/>
      <c r="D141" s="143"/>
      <c r="E141" s="143"/>
      <c r="F141" s="143"/>
      <c r="G141" s="143"/>
      <c r="H141" s="143"/>
      <c r="I141" s="317" t="n">
        <f aca="false">SUM(I139+I140)</f>
        <v>8830.48825</v>
      </c>
    </row>
    <row r="142" customFormat="false" ht="15.75" hidden="false" customHeight="false" outlineLevel="0" collapsed="false">
      <c r="A142" s="301"/>
      <c r="B142" s="301"/>
      <c r="C142" s="301"/>
      <c r="D142" s="301"/>
      <c r="E142" s="301"/>
      <c r="F142" s="301"/>
      <c r="G142" s="301"/>
      <c r="H142" s="301"/>
      <c r="I142" s="301"/>
    </row>
    <row r="143" customFormat="false" ht="15.75" hidden="false" customHeight="false" outlineLevel="0" collapsed="false">
      <c r="A143" s="33" t="s">
        <v>143</v>
      </c>
      <c r="B143" s="33"/>
      <c r="C143" s="33"/>
      <c r="D143" s="33"/>
      <c r="E143" s="33"/>
      <c r="F143" s="33"/>
      <c r="G143" s="33"/>
      <c r="H143" s="33"/>
      <c r="I143" s="33"/>
    </row>
    <row r="144" customFormat="false" ht="15.75" hidden="false" customHeight="false" outlineLevel="0" collapsed="false">
      <c r="A144" s="146" t="s">
        <v>144</v>
      </c>
      <c r="B144" s="146"/>
      <c r="C144" s="146"/>
      <c r="D144" s="146"/>
      <c r="E144" s="146"/>
      <c r="F144" s="146"/>
      <c r="G144" s="146"/>
      <c r="H144" s="146"/>
      <c r="I144" s="146"/>
    </row>
    <row r="145" customFormat="false" ht="47.25" hidden="false" customHeight="true" outlineLevel="0" collapsed="false">
      <c r="A145" s="147" t="s">
        <v>145</v>
      </c>
      <c r="B145" s="147"/>
      <c r="C145" s="148" t="s">
        <v>146</v>
      </c>
      <c r="D145" s="148"/>
      <c r="E145" s="149" t="s">
        <v>147</v>
      </c>
      <c r="F145" s="148" t="s">
        <v>148</v>
      </c>
      <c r="G145" s="148"/>
      <c r="H145" s="148" t="s">
        <v>149</v>
      </c>
      <c r="I145" s="247" t="s">
        <v>150</v>
      </c>
    </row>
    <row r="146" customFormat="false" ht="16.5" hidden="false" customHeight="true" outlineLevel="0" collapsed="false">
      <c r="A146" s="151" t="s">
        <v>26</v>
      </c>
      <c r="B146" s="151"/>
      <c r="C146" s="152" t="n">
        <f aca="false">I141</f>
        <v>8830.48825</v>
      </c>
      <c r="D146" s="152"/>
      <c r="E146" s="153" t="n">
        <v>2</v>
      </c>
      <c r="F146" s="154" t="n">
        <f aca="false">C146</f>
        <v>8830.48825</v>
      </c>
      <c r="G146" s="154"/>
      <c r="H146" s="155" t="n">
        <v>6</v>
      </c>
      <c r="I146" s="253" t="n">
        <f aca="false">F146*H146</f>
        <v>52982.9295</v>
      </c>
    </row>
    <row r="147" customFormat="false" ht="15.75" hidden="false" customHeight="false" outlineLevel="0" collapsed="false">
      <c r="A147" s="301"/>
      <c r="B147" s="301"/>
      <c r="C147" s="301"/>
      <c r="D147" s="301"/>
      <c r="E147" s="301"/>
      <c r="F147" s="301"/>
      <c r="G147" s="301"/>
      <c r="H147" s="301"/>
      <c r="I147" s="301"/>
    </row>
    <row r="148" customFormat="false" ht="15.75" hidden="false" customHeight="false" outlineLevel="0" collapsed="false">
      <c r="A148" s="33" t="s">
        <v>151</v>
      </c>
      <c r="B148" s="33"/>
      <c r="C148" s="33"/>
      <c r="D148" s="33"/>
      <c r="E148" s="33"/>
      <c r="F148" s="33"/>
      <c r="G148" s="33"/>
      <c r="H148" s="33"/>
      <c r="I148" s="33"/>
    </row>
    <row r="149" customFormat="false" ht="15.75" hidden="false" customHeight="false" outlineLevel="0" collapsed="false">
      <c r="A149" s="146" t="s">
        <v>152</v>
      </c>
      <c r="B149" s="146"/>
      <c r="C149" s="146"/>
      <c r="D149" s="146"/>
      <c r="E149" s="146"/>
      <c r="F149" s="146"/>
      <c r="G149" s="146"/>
      <c r="H149" s="146"/>
      <c r="I149" s="146"/>
    </row>
    <row r="150" customFormat="false" ht="15.75" hidden="false" customHeight="false" outlineLevel="0" collapsed="false">
      <c r="A150" s="157" t="s">
        <v>153</v>
      </c>
      <c r="B150" s="157"/>
      <c r="C150" s="157"/>
      <c r="D150" s="157"/>
      <c r="E150" s="157"/>
      <c r="F150" s="157"/>
      <c r="G150" s="157"/>
      <c r="H150" s="157"/>
      <c r="I150" s="157"/>
    </row>
    <row r="151" customFormat="false" ht="15.75" hidden="false" customHeight="false" outlineLevel="0" collapsed="false">
      <c r="A151" s="158" t="s">
        <v>8</v>
      </c>
      <c r="B151" s="15" t="s">
        <v>154</v>
      </c>
      <c r="C151" s="15"/>
      <c r="D151" s="15"/>
      <c r="E151" s="15"/>
      <c r="F151" s="15"/>
      <c r="G151" s="15"/>
      <c r="H151" s="15"/>
      <c r="I151" s="318" t="n">
        <f aca="false">F146</f>
        <v>8830.48825</v>
      </c>
    </row>
    <row r="152" customFormat="false" ht="15.75" hidden="false" customHeight="false" outlineLevel="0" collapsed="false">
      <c r="A152" s="158" t="s">
        <v>10</v>
      </c>
      <c r="B152" s="15" t="s">
        <v>155</v>
      </c>
      <c r="C152" s="15"/>
      <c r="D152" s="15"/>
      <c r="E152" s="15"/>
      <c r="F152" s="15"/>
      <c r="G152" s="15"/>
      <c r="H152" s="15"/>
      <c r="I152" s="319" t="n">
        <f aca="false">I146</f>
        <v>52982.9295</v>
      </c>
    </row>
    <row r="153" customFormat="false" ht="16.5" hidden="false" customHeight="true" outlineLevel="0" collapsed="false">
      <c r="A153" s="161" t="s">
        <v>12</v>
      </c>
      <c r="B153" s="162" t="s">
        <v>156</v>
      </c>
      <c r="C153" s="162"/>
      <c r="D153" s="162"/>
      <c r="E153" s="162"/>
      <c r="F153" s="162"/>
      <c r="G153" s="162"/>
      <c r="H153" s="162"/>
      <c r="I153" s="320" t="n">
        <f aca="false">I152*12</f>
        <v>635795.154</v>
      </c>
    </row>
  </sheetData>
  <mergeCells count="158">
    <mergeCell ref="A8:I8"/>
    <mergeCell ref="A9:I9"/>
    <mergeCell ref="A10:I10"/>
    <mergeCell ref="A11:I11"/>
    <mergeCell ref="A12:I12"/>
    <mergeCell ref="A13:I13"/>
    <mergeCell ref="A14:I14"/>
    <mergeCell ref="B15:H15"/>
    <mergeCell ref="B16:H16"/>
    <mergeCell ref="B17:H17"/>
    <mergeCell ref="B18:H18"/>
    <mergeCell ref="A19:I19"/>
    <mergeCell ref="A20:D20"/>
    <mergeCell ref="E20:F20"/>
    <mergeCell ref="G20:I20"/>
    <mergeCell ref="A21:D21"/>
    <mergeCell ref="E21:F22"/>
    <mergeCell ref="G21:I22"/>
    <mergeCell ref="A22:D22"/>
    <mergeCell ref="B23:I23"/>
    <mergeCell ref="A24:I24"/>
    <mergeCell ref="A25:I25"/>
    <mergeCell ref="A26:I26"/>
    <mergeCell ref="B27:H27"/>
    <mergeCell ref="B28:H28"/>
    <mergeCell ref="B29:H29"/>
    <mergeCell ref="B30:H30"/>
    <mergeCell ref="B31:H31"/>
    <mergeCell ref="B32:H32"/>
    <mergeCell ref="B33:H33"/>
    <mergeCell ref="A34:I34"/>
    <mergeCell ref="A35:I35"/>
    <mergeCell ref="B36:H36"/>
    <mergeCell ref="B37:H37"/>
    <mergeCell ref="B38:H38"/>
    <mergeCell ref="B39:H39"/>
    <mergeCell ref="B40:H40"/>
    <mergeCell ref="B41:H41"/>
    <mergeCell ref="B42:H42"/>
    <mergeCell ref="A43:H43"/>
    <mergeCell ref="A44:I44"/>
    <mergeCell ref="B45:H45"/>
    <mergeCell ref="A46:A48"/>
    <mergeCell ref="B46:H46"/>
    <mergeCell ref="B47:G47"/>
    <mergeCell ref="B48:G48"/>
    <mergeCell ref="A49:A50"/>
    <mergeCell ref="B49:H49"/>
    <mergeCell ref="B50:G50"/>
    <mergeCell ref="B51:H51"/>
    <mergeCell ref="A52:H52"/>
    <mergeCell ref="A53:I53"/>
    <mergeCell ref="A54:I54"/>
    <mergeCell ref="B55:H55"/>
    <mergeCell ref="B56:H56"/>
    <mergeCell ref="A57:H57"/>
    <mergeCell ref="A58:I58"/>
    <mergeCell ref="A59:I59"/>
    <mergeCell ref="B60:G60"/>
    <mergeCell ref="B61:G61"/>
    <mergeCell ref="B62:G62"/>
    <mergeCell ref="B63:G63"/>
    <mergeCell ref="B64:G64"/>
    <mergeCell ref="B65:G65"/>
    <mergeCell ref="B66:G66"/>
    <mergeCell ref="B67:E67"/>
    <mergeCell ref="B68:G68"/>
    <mergeCell ref="A69:G69"/>
    <mergeCell ref="A70:I70"/>
    <mergeCell ref="A71:I71"/>
    <mergeCell ref="A72:I72"/>
    <mergeCell ref="B73:H73"/>
    <mergeCell ref="B74:H74"/>
    <mergeCell ref="A75:H75"/>
    <mergeCell ref="B76:H76"/>
    <mergeCell ref="A77:H77"/>
    <mergeCell ref="A78:I78"/>
    <mergeCell ref="B79:H79"/>
    <mergeCell ref="B80:H80"/>
    <mergeCell ref="B81:H81"/>
    <mergeCell ref="A82:H82"/>
    <mergeCell ref="A83:I83"/>
    <mergeCell ref="B84:H84"/>
    <mergeCell ref="B85:H85"/>
    <mergeCell ref="B86:H86"/>
    <mergeCell ref="B87:H87"/>
    <mergeCell ref="B88:H88"/>
    <mergeCell ref="B89:H89"/>
    <mergeCell ref="B90:H90"/>
    <mergeCell ref="A91:H91"/>
    <mergeCell ref="A92:I92"/>
    <mergeCell ref="B93:H93"/>
    <mergeCell ref="B94:H94"/>
    <mergeCell ref="B95:H95"/>
    <mergeCell ref="B96:H96"/>
    <mergeCell ref="B97:H97"/>
    <mergeCell ref="B98:H98"/>
    <mergeCell ref="A99:H99"/>
    <mergeCell ref="B100:H100"/>
    <mergeCell ref="A101:H101"/>
    <mergeCell ref="A102:I102"/>
    <mergeCell ref="B103:H103"/>
    <mergeCell ref="B104:H104"/>
    <mergeCell ref="B105:H105"/>
    <mergeCell ref="B106:H106"/>
    <mergeCell ref="B107:H107"/>
    <mergeCell ref="B108:H108"/>
    <mergeCell ref="A109:H109"/>
    <mergeCell ref="A110:I110"/>
    <mergeCell ref="B111:G111"/>
    <mergeCell ref="A112:G112"/>
    <mergeCell ref="B113:G113"/>
    <mergeCell ref="A114:G114"/>
    <mergeCell ref="B115:G115"/>
    <mergeCell ref="A116:G116"/>
    <mergeCell ref="A117:A124"/>
    <mergeCell ref="B117:G117"/>
    <mergeCell ref="B118:G118"/>
    <mergeCell ref="B119:G119"/>
    <mergeCell ref="B120:G120"/>
    <mergeCell ref="B121:G121"/>
    <mergeCell ref="B122:G122"/>
    <mergeCell ref="B123:G123"/>
    <mergeCell ref="B124:G124"/>
    <mergeCell ref="A125:H125"/>
    <mergeCell ref="A126:G126"/>
    <mergeCell ref="A127:B128"/>
    <mergeCell ref="C127:I127"/>
    <mergeCell ref="C128:I128"/>
    <mergeCell ref="A129:I129"/>
    <mergeCell ref="A130:I130"/>
    <mergeCell ref="A131:I131"/>
    <mergeCell ref="A132:I132"/>
    <mergeCell ref="A133:I133"/>
    <mergeCell ref="A134:H134"/>
    <mergeCell ref="B135:H135"/>
    <mergeCell ref="B136:H136"/>
    <mergeCell ref="B137:H137"/>
    <mergeCell ref="B138:H138"/>
    <mergeCell ref="A139:H139"/>
    <mergeCell ref="B140:H140"/>
    <mergeCell ref="A141:H141"/>
    <mergeCell ref="A142:I142"/>
    <mergeCell ref="A143:I143"/>
    <mergeCell ref="A144:I144"/>
    <mergeCell ref="A145:B145"/>
    <mergeCell ref="C145:D145"/>
    <mergeCell ref="F145:G145"/>
    <mergeCell ref="A146:B146"/>
    <mergeCell ref="C146:D146"/>
    <mergeCell ref="F146:G146"/>
    <mergeCell ref="A147:I147"/>
    <mergeCell ref="A148:I148"/>
    <mergeCell ref="A149:I149"/>
    <mergeCell ref="A150:I150"/>
    <mergeCell ref="B151:H151"/>
    <mergeCell ref="B152:H152"/>
    <mergeCell ref="B153:H153"/>
  </mergeCells>
  <printOptions headings="false" gridLines="false" gridLinesSet="true" horizontalCentered="false" verticalCentered="false"/>
  <pageMargins left="0.698611111111111" right="0.698611111111111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7" man="true" max="16383" min="0"/>
    <brk id="109" man="true" max="16383" min="0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N152"/>
  <sheetViews>
    <sheetView showFormulas="false" showGridLines="true" showRowColHeaders="true" showZeros="true" rightToLeft="false" tabSelected="false" showOutlineSymbols="true" defaultGridColor="true" view="pageBreakPreview" topLeftCell="A135" colorId="64" zoomScale="76" zoomScaleNormal="100" zoomScalePageLayoutView="76" workbookViewId="0">
      <selection pane="topLeft" activeCell="I33" activeCellId="0" sqref="I33"/>
    </sheetView>
  </sheetViews>
  <sheetFormatPr defaultRowHeight="15" zeroHeight="false" outlineLevelRow="0" outlineLevelCol="0"/>
  <cols>
    <col collapsed="false" customWidth="true" hidden="false" outlineLevel="0" max="1" min="1" style="1" width="15.71"/>
    <col collapsed="false" customWidth="true" hidden="false" outlineLevel="0" max="2" min="2" style="1" width="20.86"/>
    <col collapsed="false" customWidth="true" hidden="false" outlineLevel="0" max="3" min="3" style="1" width="19.85"/>
    <col collapsed="false" customWidth="true" hidden="false" outlineLevel="0" max="4" min="4" style="1" width="19.71"/>
    <col collapsed="false" customWidth="true" hidden="false" outlineLevel="0" max="5" min="5" style="1" width="22.14"/>
    <col collapsed="false" customWidth="true" hidden="false" outlineLevel="0" max="6" min="6" style="1" width="21.71"/>
    <col collapsed="false" customWidth="true" hidden="false" outlineLevel="0" max="7" min="7" style="1" width="25.4"/>
    <col collapsed="false" customWidth="true" hidden="false" outlineLevel="0" max="8" min="8" style="1" width="25.86"/>
    <col collapsed="false" customWidth="true" hidden="false" outlineLevel="0" max="9" min="9" style="1" width="26.42"/>
    <col collapsed="false" customWidth="true" hidden="true" outlineLevel="0" max="11" min="10" style="1" width="9"/>
    <col collapsed="false" customWidth="true" hidden="false" outlineLevel="0" max="12" min="12" style="1" width="58.57"/>
    <col collapsed="false" customWidth="true" hidden="false" outlineLevel="0" max="1025" min="13" style="1" width="28.57"/>
  </cols>
  <sheetData>
    <row r="1" s="101" customFormat="true" ht="15.75" hidden="false" customHeight="false" outlineLevel="0" collapsed="false">
      <c r="A1" s="173" t="s">
        <v>178</v>
      </c>
      <c r="I1" s="466"/>
    </row>
    <row r="2" s="101" customFormat="true" ht="15.75" hidden="false" customHeight="false" outlineLevel="0" collapsed="false">
      <c r="A2" s="173" t="s">
        <v>179</v>
      </c>
      <c r="I2" s="466"/>
    </row>
    <row r="3" s="101" customFormat="true" ht="15.75" hidden="false" customHeight="false" outlineLevel="0" collapsed="false">
      <c r="A3" s="173" t="s">
        <v>180</v>
      </c>
      <c r="I3" s="466"/>
    </row>
    <row r="4" s="101" customFormat="true" ht="15.75" hidden="false" customHeight="false" outlineLevel="0" collapsed="false">
      <c r="A4" s="173" t="s">
        <v>181</v>
      </c>
      <c r="I4" s="466"/>
    </row>
    <row r="5" s="101" customFormat="true" ht="15.75" hidden="false" customHeight="false" outlineLevel="0" collapsed="false">
      <c r="A5" s="173" t="s">
        <v>182</v>
      </c>
      <c r="I5" s="466"/>
    </row>
    <row r="6" s="101" customFormat="true" ht="15.75" hidden="false" customHeight="false" outlineLevel="0" collapsed="false">
      <c r="A6" s="173" t="s">
        <v>183</v>
      </c>
      <c r="I6" s="466"/>
    </row>
    <row r="7" customFormat="false" ht="15.75" hidden="false" customHeight="false" outlineLevel="0" collapsed="false">
      <c r="A7" s="174" t="s">
        <v>184</v>
      </c>
      <c r="I7" s="467"/>
    </row>
    <row r="8" customFormat="false" ht="15.75" hidden="false" customHeight="false" outlineLevel="0" collapsed="false">
      <c r="A8" s="263" t="s">
        <v>1</v>
      </c>
      <c r="B8" s="263"/>
      <c r="C8" s="263"/>
      <c r="D8" s="263"/>
      <c r="E8" s="263"/>
      <c r="F8" s="263"/>
      <c r="G8" s="263"/>
      <c r="H8" s="263"/>
      <c r="I8" s="263"/>
    </row>
    <row r="9" customFormat="false" ht="15.75" hidden="false" customHeight="false" outlineLevel="0" collapsed="false">
      <c r="A9" s="4" t="s">
        <v>2</v>
      </c>
      <c r="B9" s="4"/>
      <c r="C9" s="4"/>
      <c r="D9" s="4"/>
      <c r="E9" s="4"/>
      <c r="F9" s="4"/>
      <c r="G9" s="4"/>
      <c r="H9" s="4"/>
      <c r="I9" s="4"/>
    </row>
    <row r="10" customFormat="false" ht="15.75" hidden="false" customHeight="false" outlineLevel="0" collapsed="false">
      <c r="A10" s="5" t="s">
        <v>3</v>
      </c>
      <c r="B10" s="5"/>
      <c r="C10" s="5"/>
      <c r="D10" s="5"/>
      <c r="E10" s="5"/>
      <c r="F10" s="5"/>
      <c r="G10" s="5"/>
      <c r="H10" s="5"/>
      <c r="I10" s="5"/>
    </row>
    <row r="11" customFormat="false" ht="15.75" hidden="false" customHeight="false" outlineLevel="0" collapsed="false">
      <c r="A11" s="6" t="s">
        <v>4</v>
      </c>
      <c r="B11" s="6"/>
      <c r="C11" s="6"/>
      <c r="D11" s="6"/>
      <c r="E11" s="6"/>
      <c r="F11" s="6"/>
      <c r="G11" s="6"/>
      <c r="H11" s="6"/>
      <c r="I11" s="6"/>
    </row>
    <row r="12" customFormat="false" ht="15.75" hidden="false" customHeight="false" outlineLevel="0" collapsed="false">
      <c r="A12" s="7" t="s">
        <v>5</v>
      </c>
      <c r="B12" s="7"/>
      <c r="C12" s="7"/>
      <c r="D12" s="7"/>
      <c r="E12" s="7"/>
      <c r="F12" s="7"/>
      <c r="G12" s="7"/>
      <c r="H12" s="7"/>
      <c r="I12" s="7"/>
    </row>
    <row r="13" customFormat="false" ht="15.75" hidden="false" customHeight="false" outlineLevel="0" collapsed="false">
      <c r="A13" s="8" t="s">
        <v>6</v>
      </c>
      <c r="B13" s="8"/>
      <c r="C13" s="8"/>
      <c r="D13" s="8"/>
      <c r="E13" s="8"/>
      <c r="F13" s="8"/>
      <c r="G13" s="8"/>
      <c r="H13" s="8"/>
      <c r="I13" s="8"/>
    </row>
    <row r="14" customFormat="false" ht="15.75" hidden="false" customHeight="false" outlineLevel="0" collapsed="false">
      <c r="A14" s="179" t="s">
        <v>7</v>
      </c>
      <c r="B14" s="179"/>
      <c r="C14" s="179"/>
      <c r="D14" s="179"/>
      <c r="E14" s="179"/>
      <c r="F14" s="179"/>
      <c r="G14" s="179"/>
      <c r="H14" s="179"/>
      <c r="I14" s="179"/>
    </row>
    <row r="15" customFormat="false" ht="15.75" hidden="false" customHeight="false" outlineLevel="0" collapsed="false">
      <c r="A15" s="10" t="s">
        <v>8</v>
      </c>
      <c r="B15" s="11" t="s">
        <v>9</v>
      </c>
      <c r="C15" s="11"/>
      <c r="D15" s="11"/>
      <c r="E15" s="11"/>
      <c r="F15" s="11"/>
      <c r="G15" s="11"/>
      <c r="H15" s="11"/>
      <c r="I15" s="468"/>
      <c r="L15" s="13"/>
    </row>
    <row r="16" customFormat="false" ht="15.75" hidden="false" customHeight="false" outlineLevel="0" collapsed="false">
      <c r="A16" s="14" t="s">
        <v>10</v>
      </c>
      <c r="B16" s="15" t="s">
        <v>11</v>
      </c>
      <c r="C16" s="15"/>
      <c r="D16" s="15"/>
      <c r="E16" s="15"/>
      <c r="F16" s="15"/>
      <c r="G16" s="15"/>
      <c r="H16" s="15"/>
      <c r="I16" s="469" t="s">
        <v>290</v>
      </c>
      <c r="L16" s="13"/>
    </row>
    <row r="17" customFormat="false" ht="47.25" hidden="false" customHeight="true" outlineLevel="0" collapsed="false">
      <c r="A17" s="17" t="s">
        <v>12</v>
      </c>
      <c r="B17" s="18" t="s">
        <v>13</v>
      </c>
      <c r="C17" s="18"/>
      <c r="D17" s="18"/>
      <c r="E17" s="18"/>
      <c r="F17" s="18"/>
      <c r="G17" s="18"/>
      <c r="H17" s="18"/>
      <c r="I17" s="470" t="s">
        <v>186</v>
      </c>
      <c r="L17" s="13"/>
    </row>
    <row r="18" customFormat="false" ht="15.75" hidden="false" customHeight="false" outlineLevel="0" collapsed="false">
      <c r="A18" s="20" t="s">
        <v>14</v>
      </c>
      <c r="B18" s="21" t="s">
        <v>15</v>
      </c>
      <c r="C18" s="21"/>
      <c r="D18" s="21"/>
      <c r="E18" s="21"/>
      <c r="F18" s="21"/>
      <c r="G18" s="21"/>
      <c r="H18" s="21"/>
      <c r="I18" s="471" t="n">
        <v>12</v>
      </c>
    </row>
    <row r="19" customFormat="false" ht="15.75" hidden="false" customHeight="false" outlineLevel="0" collapsed="false">
      <c r="A19" s="179" t="s">
        <v>16</v>
      </c>
      <c r="B19" s="179"/>
      <c r="C19" s="179"/>
      <c r="D19" s="179"/>
      <c r="E19" s="179"/>
      <c r="F19" s="179"/>
      <c r="G19" s="179"/>
      <c r="H19" s="179"/>
      <c r="I19" s="179"/>
    </row>
    <row r="20" customFormat="false" ht="15.75" hidden="false" customHeight="false" outlineLevel="0" collapsed="false">
      <c r="A20" s="23" t="s">
        <v>17</v>
      </c>
      <c r="B20" s="23"/>
      <c r="C20" s="23"/>
      <c r="D20" s="23"/>
      <c r="E20" s="24" t="s">
        <v>18</v>
      </c>
      <c r="F20" s="24"/>
      <c r="G20" s="25" t="s">
        <v>19</v>
      </c>
      <c r="H20" s="25"/>
      <c r="I20" s="25"/>
    </row>
    <row r="21" customFormat="false" ht="15.75" hidden="false" customHeight="true" outlineLevel="0" collapsed="false">
      <c r="A21" s="26" t="s">
        <v>20</v>
      </c>
      <c r="B21" s="26"/>
      <c r="C21" s="26"/>
      <c r="D21" s="26"/>
      <c r="E21" s="27" t="s">
        <v>21</v>
      </c>
      <c r="F21" s="27"/>
      <c r="G21" s="28" t="n">
        <v>1</v>
      </c>
      <c r="H21" s="28"/>
      <c r="I21" s="28"/>
    </row>
    <row r="22" customFormat="false" ht="16.5" hidden="false" customHeight="true" outlineLevel="0" collapsed="false">
      <c r="A22" s="472" t="s">
        <v>224</v>
      </c>
      <c r="B22" s="472"/>
      <c r="C22" s="472"/>
      <c r="D22" s="472"/>
      <c r="E22" s="27"/>
      <c r="F22" s="27"/>
      <c r="G22" s="28"/>
      <c r="H22" s="28"/>
      <c r="I22" s="28"/>
      <c r="L22" s="30"/>
    </row>
    <row r="23" customFormat="false" ht="15.75" hidden="false" customHeight="false" outlineLevel="0" collapsed="false">
      <c r="A23" s="31"/>
      <c r="B23" s="269"/>
      <c r="C23" s="269"/>
      <c r="D23" s="269"/>
      <c r="E23" s="269"/>
      <c r="F23" s="269"/>
      <c r="G23" s="269"/>
      <c r="H23" s="269"/>
      <c r="I23" s="269"/>
    </row>
    <row r="24" customFormat="false" ht="15.75" hidden="false" customHeight="false" outlineLevel="0" collapsed="false">
      <c r="A24" s="33" t="s">
        <v>22</v>
      </c>
      <c r="B24" s="33"/>
      <c r="C24" s="33"/>
      <c r="D24" s="33"/>
      <c r="E24" s="33"/>
      <c r="F24" s="33"/>
      <c r="G24" s="33"/>
      <c r="H24" s="33"/>
      <c r="I24" s="33"/>
    </row>
    <row r="25" customFormat="false" ht="15.75" hidden="false" customHeight="false" outlineLevel="0" collapsed="false">
      <c r="A25" s="34" t="s">
        <v>23</v>
      </c>
      <c r="B25" s="34"/>
      <c r="C25" s="34"/>
      <c r="D25" s="34"/>
      <c r="E25" s="34"/>
      <c r="F25" s="34"/>
      <c r="G25" s="34"/>
      <c r="H25" s="34"/>
      <c r="I25" s="34"/>
    </row>
    <row r="26" customFormat="false" ht="15.75" hidden="false" customHeight="false" outlineLevel="0" collapsed="false">
      <c r="A26" s="35" t="s">
        <v>24</v>
      </c>
      <c r="B26" s="35"/>
      <c r="C26" s="35"/>
      <c r="D26" s="35"/>
      <c r="E26" s="35"/>
      <c r="F26" s="35"/>
      <c r="G26" s="35"/>
      <c r="H26" s="35"/>
      <c r="I26" s="35"/>
    </row>
    <row r="27" customFormat="false" ht="15.75" hidden="false" customHeight="true" outlineLevel="0" collapsed="false">
      <c r="A27" s="14" t="n">
        <v>1</v>
      </c>
      <c r="B27" s="36" t="s">
        <v>25</v>
      </c>
      <c r="C27" s="36"/>
      <c r="D27" s="36"/>
      <c r="E27" s="36"/>
      <c r="F27" s="36"/>
      <c r="G27" s="36"/>
      <c r="H27" s="36"/>
      <c r="I27" s="470" t="s">
        <v>26</v>
      </c>
    </row>
    <row r="28" customFormat="false" ht="15.75" hidden="false" customHeight="true" outlineLevel="0" collapsed="false">
      <c r="A28" s="14" t="n">
        <v>2</v>
      </c>
      <c r="B28" s="38" t="s">
        <v>27</v>
      </c>
      <c r="C28" s="38"/>
      <c r="D28" s="38"/>
      <c r="E28" s="38"/>
      <c r="F28" s="38"/>
      <c r="G28" s="38"/>
      <c r="H28" s="38"/>
      <c r="I28" s="469" t="n">
        <f aca="false">Dados!B2</f>
        <v>1305.17</v>
      </c>
    </row>
    <row r="29" customFormat="false" ht="15.75" hidden="false" customHeight="true" outlineLevel="0" collapsed="false">
      <c r="A29" s="14" t="n">
        <v>3</v>
      </c>
      <c r="B29" s="38" t="s">
        <v>28</v>
      </c>
      <c r="C29" s="38"/>
      <c r="D29" s="38"/>
      <c r="E29" s="38"/>
      <c r="F29" s="38"/>
      <c r="G29" s="38"/>
      <c r="H29" s="38"/>
      <c r="I29" s="469" t="s">
        <v>188</v>
      </c>
    </row>
    <row r="30" customFormat="false" ht="15.75" hidden="false" customHeight="true" outlineLevel="0" collapsed="false">
      <c r="A30" s="40" t="n">
        <v>4</v>
      </c>
      <c r="B30" s="41" t="s">
        <v>29</v>
      </c>
      <c r="C30" s="41"/>
      <c r="D30" s="41"/>
      <c r="E30" s="41"/>
      <c r="F30" s="41"/>
      <c r="G30" s="41"/>
      <c r="H30" s="41"/>
      <c r="I30" s="473" t="n">
        <v>42005</v>
      </c>
    </row>
    <row r="31" customFormat="false" ht="15.75" hidden="false" customHeight="true" outlineLevel="0" collapsed="false">
      <c r="A31" s="40" t="n">
        <v>5</v>
      </c>
      <c r="B31" s="38" t="s">
        <v>30</v>
      </c>
      <c r="C31" s="38"/>
      <c r="D31" s="38"/>
      <c r="E31" s="38"/>
      <c r="F31" s="38"/>
      <c r="G31" s="38"/>
      <c r="H31" s="38"/>
      <c r="I31" s="473" t="n">
        <f aca="false">I28/220</f>
        <v>5.93259090909091</v>
      </c>
    </row>
    <row r="32" customFormat="false" ht="15.75" hidden="false" customHeight="true" outlineLevel="0" collapsed="false">
      <c r="A32" s="40" t="n">
        <v>6</v>
      </c>
      <c r="B32" s="38" t="s">
        <v>31</v>
      </c>
      <c r="C32" s="38"/>
      <c r="D32" s="38"/>
      <c r="E32" s="38"/>
      <c r="F32" s="38"/>
      <c r="G32" s="38"/>
      <c r="H32" s="38"/>
      <c r="I32" s="330" t="n">
        <f aca="false">I31*1.5</f>
        <v>8.89888636363636</v>
      </c>
    </row>
    <row r="33" customFormat="false" ht="16.5" hidden="false" customHeight="true" outlineLevel="0" collapsed="false">
      <c r="A33" s="20" t="n">
        <v>7</v>
      </c>
      <c r="B33" s="44" t="s">
        <v>32</v>
      </c>
      <c r="C33" s="44"/>
      <c r="D33" s="44"/>
      <c r="E33" s="44"/>
      <c r="F33" s="44"/>
      <c r="G33" s="44"/>
      <c r="H33" s="44"/>
      <c r="I33" s="471" t="n">
        <f aca="false">I31*0.2</f>
        <v>1.18651818181818</v>
      </c>
    </row>
    <row r="34" customFormat="false" ht="15.75" hidden="false" customHeight="false" outlineLevel="0" collapsed="false">
      <c r="A34" s="271"/>
      <c r="B34" s="271"/>
      <c r="C34" s="271"/>
      <c r="D34" s="271"/>
      <c r="E34" s="271"/>
      <c r="F34" s="271"/>
      <c r="G34" s="271"/>
      <c r="H34" s="271"/>
      <c r="I34" s="271"/>
    </row>
    <row r="35" customFormat="false" ht="15.75" hidden="false" customHeight="false" outlineLevel="0" collapsed="false">
      <c r="A35" s="47" t="s">
        <v>33</v>
      </c>
      <c r="B35" s="47"/>
      <c r="C35" s="47"/>
      <c r="D35" s="47"/>
      <c r="E35" s="47"/>
      <c r="F35" s="47"/>
      <c r="G35" s="47"/>
      <c r="H35" s="47"/>
      <c r="I35" s="47"/>
    </row>
    <row r="36" customFormat="false" ht="15.75" hidden="false" customHeight="false" outlineLevel="0" collapsed="false">
      <c r="A36" s="48" t="n">
        <v>1</v>
      </c>
      <c r="B36" s="49" t="s">
        <v>34</v>
      </c>
      <c r="C36" s="49"/>
      <c r="D36" s="49"/>
      <c r="E36" s="49"/>
      <c r="F36" s="49"/>
      <c r="G36" s="49"/>
      <c r="H36" s="49"/>
      <c r="I36" s="474" t="s">
        <v>35</v>
      </c>
      <c r="L36" s="51"/>
    </row>
    <row r="37" customFormat="false" ht="15.75" hidden="false" customHeight="false" outlineLevel="0" collapsed="false">
      <c r="A37" s="17" t="s">
        <v>8</v>
      </c>
      <c r="B37" s="52" t="s">
        <v>36</v>
      </c>
      <c r="C37" s="52"/>
      <c r="D37" s="52"/>
      <c r="E37" s="52"/>
      <c r="F37" s="52"/>
      <c r="G37" s="52"/>
      <c r="H37" s="52"/>
      <c r="I37" s="475" t="n">
        <f aca="false">ROUND((I31*200)*2,2)</f>
        <v>2373.04</v>
      </c>
      <c r="L37" s="51"/>
    </row>
    <row r="38" customFormat="false" ht="15.75" hidden="false" customHeight="false" outlineLevel="0" collapsed="false">
      <c r="A38" s="17" t="s">
        <v>10</v>
      </c>
      <c r="B38" s="74" t="s">
        <v>225</v>
      </c>
      <c r="C38" s="74"/>
      <c r="D38" s="74"/>
      <c r="E38" s="74"/>
      <c r="F38" s="74"/>
      <c r="G38" s="74"/>
      <c r="H38" s="74"/>
      <c r="I38" s="475" t="n">
        <f aca="false">ROUND(I32*21*2,2)</f>
        <v>373.75</v>
      </c>
      <c r="L38" s="55"/>
    </row>
    <row r="39" customFormat="false" ht="30.75" hidden="false" customHeight="true" outlineLevel="0" collapsed="false">
      <c r="A39" s="17" t="s">
        <v>12</v>
      </c>
      <c r="B39" s="54" t="s">
        <v>243</v>
      </c>
      <c r="C39" s="54"/>
      <c r="D39" s="54"/>
      <c r="E39" s="54"/>
      <c r="F39" s="54"/>
      <c r="G39" s="54"/>
      <c r="H39" s="54"/>
      <c r="I39" s="475" t="n">
        <f aca="false">ROUND(I33*1*(60/52.5)*21,2)</f>
        <v>28.48</v>
      </c>
      <c r="L39" s="55"/>
    </row>
    <row r="40" customFormat="false" ht="28.5" hidden="false" customHeight="true" outlineLevel="0" collapsed="false">
      <c r="A40" s="17" t="s">
        <v>14</v>
      </c>
      <c r="B40" s="54" t="s">
        <v>220</v>
      </c>
      <c r="C40" s="54"/>
      <c r="D40" s="54"/>
      <c r="E40" s="54"/>
      <c r="F40" s="54"/>
      <c r="G40" s="54"/>
      <c r="H40" s="54"/>
      <c r="I40" s="475" t="n">
        <f aca="false">ROUND(I32*21*(60/52.5-1),2)</f>
        <v>26.7</v>
      </c>
      <c r="L40" s="55"/>
    </row>
    <row r="41" customFormat="false" ht="21" hidden="false" customHeight="true" outlineLevel="0" collapsed="false">
      <c r="A41" s="274" t="s">
        <v>40</v>
      </c>
      <c r="B41" s="58" t="s">
        <v>43</v>
      </c>
      <c r="C41" s="58"/>
      <c r="D41" s="58"/>
      <c r="E41" s="58"/>
      <c r="F41" s="58"/>
      <c r="G41" s="58"/>
      <c r="H41" s="58"/>
      <c r="I41" s="475" t="n">
        <f aca="false">SUM(I38:I40)*0.2</f>
        <v>85.786</v>
      </c>
      <c r="K41" s="59"/>
    </row>
    <row r="42" customFormat="false" ht="15.75" hidden="false" customHeight="false" outlineLevel="0" collapsed="false">
      <c r="A42" s="60" t="s">
        <v>44</v>
      </c>
      <c r="B42" s="60"/>
      <c r="C42" s="60"/>
      <c r="D42" s="60"/>
      <c r="E42" s="60"/>
      <c r="F42" s="60"/>
      <c r="G42" s="60"/>
      <c r="H42" s="60"/>
      <c r="I42" s="476" t="n">
        <f aca="false">SUM(I37:I41)</f>
        <v>2887.756</v>
      </c>
    </row>
    <row r="43" customFormat="false" ht="15.75" hidden="false" customHeight="false" outlineLevel="0" collapsed="false">
      <c r="A43" s="47" t="s">
        <v>45</v>
      </c>
      <c r="B43" s="47"/>
      <c r="C43" s="47"/>
      <c r="D43" s="47"/>
      <c r="E43" s="47"/>
      <c r="F43" s="47"/>
      <c r="G43" s="47"/>
      <c r="H43" s="47"/>
      <c r="I43" s="47"/>
    </row>
    <row r="44" customFormat="false" ht="15.75" hidden="false" customHeight="false" outlineLevel="0" collapsed="false">
      <c r="A44" s="62" t="n">
        <v>2</v>
      </c>
      <c r="B44" s="63" t="s">
        <v>46</v>
      </c>
      <c r="C44" s="63"/>
      <c r="D44" s="63"/>
      <c r="E44" s="63"/>
      <c r="F44" s="63"/>
      <c r="G44" s="63"/>
      <c r="H44" s="63"/>
      <c r="I44" s="474" t="s">
        <v>35</v>
      </c>
    </row>
    <row r="45" customFormat="false" ht="15.75" hidden="false" customHeight="true" outlineLevel="0" collapsed="false">
      <c r="A45" s="64" t="s">
        <v>8</v>
      </c>
      <c r="B45" s="54" t="s">
        <v>206</v>
      </c>
      <c r="C45" s="54"/>
      <c r="D45" s="54"/>
      <c r="E45" s="54"/>
      <c r="F45" s="54"/>
      <c r="G45" s="54"/>
      <c r="H45" s="54"/>
      <c r="I45" s="477" t="n">
        <f aca="false">ROUND((2*H47*H46*21)-(0.06*I37),2)</f>
        <v>151.62</v>
      </c>
      <c r="L45" s="66"/>
    </row>
    <row r="46" customFormat="false" ht="28.5" hidden="false" customHeight="true" outlineLevel="0" collapsed="false">
      <c r="A46" s="64"/>
      <c r="B46" s="277" t="s">
        <v>291</v>
      </c>
      <c r="C46" s="277"/>
      <c r="D46" s="277"/>
      <c r="E46" s="277"/>
      <c r="F46" s="277"/>
      <c r="G46" s="277"/>
      <c r="H46" s="278" t="n">
        <f aca="false">Dados!B18</f>
        <v>3.5</v>
      </c>
      <c r="I46" s="477"/>
    </row>
    <row r="47" customFormat="false" ht="18.75" hidden="false" customHeight="true" outlineLevel="0" collapsed="false">
      <c r="A47" s="64"/>
      <c r="B47" s="69" t="s">
        <v>49</v>
      </c>
      <c r="C47" s="69"/>
      <c r="D47" s="69"/>
      <c r="E47" s="69"/>
      <c r="F47" s="69"/>
      <c r="G47" s="69"/>
      <c r="H47" s="70" t="n">
        <v>2</v>
      </c>
      <c r="I47" s="477"/>
    </row>
    <row r="48" customFormat="false" ht="18.75" hidden="false" customHeight="true" outlineLevel="0" collapsed="false">
      <c r="A48" s="64" t="s">
        <v>10</v>
      </c>
      <c r="B48" s="54" t="s">
        <v>50</v>
      </c>
      <c r="C48" s="54"/>
      <c r="D48" s="54"/>
      <c r="E48" s="54"/>
      <c r="F48" s="54"/>
      <c r="G48" s="54"/>
      <c r="H48" s="54"/>
      <c r="I48" s="477" t="n">
        <f aca="false">ROUND((2*21*H49)*(1-0.18),2)</f>
        <v>576.18</v>
      </c>
    </row>
    <row r="49" customFormat="false" ht="18.75" hidden="false" customHeight="true" outlineLevel="0" collapsed="false">
      <c r="A49" s="64"/>
      <c r="B49" s="69" t="s">
        <v>51</v>
      </c>
      <c r="C49" s="69"/>
      <c r="D49" s="69"/>
      <c r="E49" s="69"/>
      <c r="F49" s="69"/>
      <c r="G49" s="69"/>
      <c r="H49" s="280" t="n">
        <f aca="false">Dados!B3</f>
        <v>16.73</v>
      </c>
      <c r="I49" s="478"/>
    </row>
    <row r="50" customFormat="false" ht="28.5" hidden="false" customHeight="true" outlineLevel="0" collapsed="false">
      <c r="A50" s="17" t="s">
        <v>12</v>
      </c>
      <c r="B50" s="58" t="s">
        <v>194</v>
      </c>
      <c r="C50" s="58"/>
      <c r="D50" s="58"/>
      <c r="E50" s="58"/>
      <c r="F50" s="58"/>
      <c r="G50" s="58"/>
      <c r="H50" s="58"/>
      <c r="I50" s="477" t="n">
        <f aca="false">ROUND(Dados!B5*2,2)</f>
        <v>30.04</v>
      </c>
    </row>
    <row r="51" customFormat="false" ht="15.75" hidden="false" customHeight="false" outlineLevel="0" collapsed="false">
      <c r="A51" s="60" t="s">
        <v>53</v>
      </c>
      <c r="B51" s="60"/>
      <c r="C51" s="60"/>
      <c r="D51" s="60"/>
      <c r="E51" s="60"/>
      <c r="F51" s="60"/>
      <c r="G51" s="60"/>
      <c r="H51" s="60"/>
      <c r="I51" s="476" t="n">
        <f aca="false">SUM(I45:I50)</f>
        <v>757.84</v>
      </c>
    </row>
    <row r="52" customFormat="false" ht="15.75" hidden="false" customHeight="false" outlineLevel="0" collapsed="false">
      <c r="A52" s="73" t="s">
        <v>54</v>
      </c>
      <c r="B52" s="73"/>
      <c r="C52" s="73"/>
      <c r="D52" s="73"/>
      <c r="E52" s="73"/>
      <c r="F52" s="73"/>
      <c r="G52" s="73"/>
      <c r="H52" s="73"/>
      <c r="I52" s="73"/>
    </row>
    <row r="53" customFormat="false" ht="15.75" hidden="false" customHeight="false" outlineLevel="0" collapsed="false">
      <c r="A53" s="47" t="s">
        <v>55</v>
      </c>
      <c r="B53" s="47"/>
      <c r="C53" s="47"/>
      <c r="D53" s="47"/>
      <c r="E53" s="47"/>
      <c r="F53" s="47"/>
      <c r="G53" s="47"/>
      <c r="H53" s="47"/>
      <c r="I53" s="47"/>
    </row>
    <row r="54" customFormat="false" ht="15.75" hidden="false" customHeight="false" outlineLevel="0" collapsed="false">
      <c r="A54" s="62" t="n">
        <v>3</v>
      </c>
      <c r="B54" s="63" t="s">
        <v>56</v>
      </c>
      <c r="C54" s="63"/>
      <c r="D54" s="63"/>
      <c r="E54" s="63"/>
      <c r="F54" s="63"/>
      <c r="G54" s="63"/>
      <c r="H54" s="63"/>
      <c r="I54" s="474" t="s">
        <v>35</v>
      </c>
    </row>
    <row r="55" customFormat="false" ht="15.75" hidden="false" customHeight="false" outlineLevel="0" collapsed="false">
      <c r="A55" s="64" t="s">
        <v>8</v>
      </c>
      <c r="B55" s="74" t="s">
        <v>208</v>
      </c>
      <c r="C55" s="74"/>
      <c r="D55" s="74"/>
      <c r="E55" s="74"/>
      <c r="F55" s="74"/>
      <c r="G55" s="74"/>
      <c r="H55" s="74"/>
      <c r="I55" s="479" t="n">
        <f aca="false">Dados!D6*2</f>
        <v>137.67625</v>
      </c>
      <c r="J55" s="76"/>
      <c r="K55" s="77"/>
    </row>
    <row r="56" customFormat="false" ht="15.75" hidden="false" customHeight="false" outlineLevel="0" collapsed="false">
      <c r="A56" s="60" t="s">
        <v>58</v>
      </c>
      <c r="B56" s="60"/>
      <c r="C56" s="60"/>
      <c r="D56" s="60"/>
      <c r="E56" s="60"/>
      <c r="F56" s="60"/>
      <c r="G56" s="60"/>
      <c r="H56" s="60"/>
      <c r="I56" s="480" t="n">
        <f aca="false">SUM(I55:I55)</f>
        <v>137.67625</v>
      </c>
    </row>
    <row r="57" customFormat="false" ht="15.75" hidden="false" customHeight="false" outlineLevel="0" collapsed="false">
      <c r="A57" s="47" t="s">
        <v>59</v>
      </c>
      <c r="B57" s="47"/>
      <c r="C57" s="47"/>
      <c r="D57" s="47"/>
      <c r="E57" s="47"/>
      <c r="F57" s="47"/>
      <c r="G57" s="47"/>
      <c r="H57" s="47"/>
      <c r="I57" s="47"/>
    </row>
    <row r="58" customFormat="false" ht="15.75" hidden="false" customHeight="false" outlineLevel="0" collapsed="false">
      <c r="A58" s="79" t="s">
        <v>60</v>
      </c>
      <c r="B58" s="79"/>
      <c r="C58" s="79"/>
      <c r="D58" s="79"/>
      <c r="E58" s="79"/>
      <c r="F58" s="79"/>
      <c r="G58" s="79"/>
      <c r="H58" s="79"/>
      <c r="I58" s="79"/>
    </row>
    <row r="59" customFormat="false" ht="15.75" hidden="false" customHeight="false" outlineLevel="0" collapsed="false">
      <c r="A59" s="62" t="s">
        <v>61</v>
      </c>
      <c r="B59" s="80" t="s">
        <v>62</v>
      </c>
      <c r="C59" s="80"/>
      <c r="D59" s="80"/>
      <c r="E59" s="80"/>
      <c r="F59" s="80"/>
      <c r="G59" s="80"/>
      <c r="H59" s="81" t="s">
        <v>63</v>
      </c>
      <c r="I59" s="474" t="s">
        <v>35</v>
      </c>
    </row>
    <row r="60" customFormat="false" ht="15.75" hidden="false" customHeight="false" outlineLevel="0" collapsed="false">
      <c r="A60" s="82" t="s">
        <v>8</v>
      </c>
      <c r="B60" s="83" t="s">
        <v>64</v>
      </c>
      <c r="C60" s="83"/>
      <c r="D60" s="83"/>
      <c r="E60" s="83"/>
      <c r="F60" s="83"/>
      <c r="G60" s="83"/>
      <c r="H60" s="84" t="n">
        <v>0.2</v>
      </c>
      <c r="I60" s="475" t="n">
        <f aca="false">ROUND(($I$42-$I$38)*H60,2)</f>
        <v>502.8</v>
      </c>
      <c r="K60" s="66"/>
    </row>
    <row r="61" customFormat="false" ht="15.75" hidden="false" customHeight="false" outlineLevel="0" collapsed="false">
      <c r="A61" s="82" t="s">
        <v>10</v>
      </c>
      <c r="B61" s="83" t="s">
        <v>65</v>
      </c>
      <c r="C61" s="83"/>
      <c r="D61" s="83"/>
      <c r="E61" s="83"/>
      <c r="F61" s="83"/>
      <c r="G61" s="83"/>
      <c r="H61" s="85" t="n">
        <v>0.015</v>
      </c>
      <c r="I61" s="475" t="n">
        <f aca="false">ROUND(($I$42-$I$38)*H61,2)</f>
        <v>37.71</v>
      </c>
      <c r="K61" s="66"/>
    </row>
    <row r="62" customFormat="false" ht="15.75" hidden="false" customHeight="false" outlineLevel="0" collapsed="false">
      <c r="A62" s="82" t="s">
        <v>12</v>
      </c>
      <c r="B62" s="83" t="s">
        <v>66</v>
      </c>
      <c r="C62" s="83"/>
      <c r="D62" s="83"/>
      <c r="E62" s="83"/>
      <c r="F62" s="83"/>
      <c r="G62" s="83"/>
      <c r="H62" s="84" t="n">
        <v>0.01</v>
      </c>
      <c r="I62" s="475" t="n">
        <f aca="false">ROUND(($I$42-$I$38)*H62,2)</f>
        <v>25.14</v>
      </c>
      <c r="K62" s="66"/>
    </row>
    <row r="63" customFormat="false" ht="15.75" hidden="false" customHeight="false" outlineLevel="0" collapsed="false">
      <c r="A63" s="82" t="s">
        <v>14</v>
      </c>
      <c r="B63" s="83" t="s">
        <v>67</v>
      </c>
      <c r="C63" s="83"/>
      <c r="D63" s="83"/>
      <c r="E63" s="83"/>
      <c r="F63" s="83"/>
      <c r="G63" s="83"/>
      <c r="H63" s="86" t="n">
        <v>0.002</v>
      </c>
      <c r="I63" s="475" t="n">
        <f aca="false">ROUND(($I$42-$I$38)*H63,2)</f>
        <v>5.03</v>
      </c>
      <c r="K63" s="66"/>
    </row>
    <row r="64" customFormat="false" ht="15.75" hidden="false" customHeight="false" outlineLevel="0" collapsed="false">
      <c r="A64" s="82" t="s">
        <v>40</v>
      </c>
      <c r="B64" s="83" t="s">
        <v>68</v>
      </c>
      <c r="C64" s="83"/>
      <c r="D64" s="83"/>
      <c r="E64" s="83"/>
      <c r="F64" s="83"/>
      <c r="G64" s="83"/>
      <c r="H64" s="86" t="n">
        <v>0.025</v>
      </c>
      <c r="I64" s="475" t="n">
        <f aca="false">ROUND(($I$42-$I$38)*H64,2)</f>
        <v>62.85</v>
      </c>
      <c r="K64" s="66"/>
    </row>
    <row r="65" customFormat="false" ht="15.75" hidden="false" customHeight="false" outlineLevel="0" collapsed="false">
      <c r="A65" s="82" t="s">
        <v>42</v>
      </c>
      <c r="B65" s="83" t="s">
        <v>69</v>
      </c>
      <c r="C65" s="83"/>
      <c r="D65" s="83"/>
      <c r="E65" s="83"/>
      <c r="F65" s="83"/>
      <c r="G65" s="83"/>
      <c r="H65" s="84" t="n">
        <v>0.08</v>
      </c>
      <c r="I65" s="475" t="n">
        <f aca="false">ROUND(($I$42-$I$38)*H65,2)</f>
        <v>201.12</v>
      </c>
      <c r="K65" s="66"/>
    </row>
    <row r="66" customFormat="false" ht="15.75" hidden="false" customHeight="false" outlineLevel="0" collapsed="false">
      <c r="A66" s="82" t="s">
        <v>70</v>
      </c>
      <c r="B66" s="87" t="s">
        <v>71</v>
      </c>
      <c r="C66" s="87"/>
      <c r="D66" s="87"/>
      <c r="E66" s="87"/>
      <c r="F66" s="88" t="s">
        <v>72</v>
      </c>
      <c r="G66" s="89" t="s">
        <v>196</v>
      </c>
      <c r="H66" s="86" t="n">
        <v>0.015</v>
      </c>
      <c r="I66" s="475" t="n">
        <f aca="false">ROUND(($I$42-$I$38)*H66,2)</f>
        <v>37.71</v>
      </c>
      <c r="K66" s="66"/>
    </row>
    <row r="67" customFormat="false" ht="15.75" hidden="false" customHeight="false" outlineLevel="0" collapsed="false">
      <c r="A67" s="82" t="s">
        <v>74</v>
      </c>
      <c r="B67" s="83" t="s">
        <v>75</v>
      </c>
      <c r="C67" s="83"/>
      <c r="D67" s="83"/>
      <c r="E67" s="83"/>
      <c r="F67" s="83"/>
      <c r="G67" s="83"/>
      <c r="H67" s="86" t="n">
        <v>0.006</v>
      </c>
      <c r="I67" s="475" t="n">
        <f aca="false">ROUND(($I$42-$I$38)*H67,2)</f>
        <v>15.08</v>
      </c>
      <c r="K67" s="66"/>
    </row>
    <row r="68" customFormat="false" ht="15.75" hidden="false" customHeight="false" outlineLevel="0" collapsed="false">
      <c r="A68" s="90" t="s">
        <v>76</v>
      </c>
      <c r="B68" s="90"/>
      <c r="C68" s="90"/>
      <c r="D68" s="90"/>
      <c r="E68" s="90"/>
      <c r="F68" s="90"/>
      <c r="G68" s="90"/>
      <c r="H68" s="91" t="n">
        <f aca="false">SUM(H60:H67)</f>
        <v>0.353</v>
      </c>
      <c r="I68" s="481" t="n">
        <f aca="false">SUM(I60:I67)</f>
        <v>887.44</v>
      </c>
      <c r="K68" s="66"/>
    </row>
    <row r="69" customFormat="false" ht="15.75" hidden="false" customHeight="false" outlineLevel="0" collapsed="false">
      <c r="A69" s="93" t="s">
        <v>77</v>
      </c>
      <c r="B69" s="93"/>
      <c r="C69" s="93"/>
      <c r="D69" s="93"/>
      <c r="E69" s="93"/>
      <c r="F69" s="93"/>
      <c r="G69" s="93"/>
      <c r="H69" s="93"/>
      <c r="I69" s="93"/>
    </row>
    <row r="70" customFormat="false" ht="15.75" hidden="false" customHeight="false" outlineLevel="0" collapsed="false">
      <c r="A70" s="94" t="s">
        <v>78</v>
      </c>
      <c r="B70" s="94"/>
      <c r="C70" s="94"/>
      <c r="D70" s="94"/>
      <c r="E70" s="94"/>
      <c r="F70" s="94"/>
      <c r="G70" s="94"/>
      <c r="H70" s="94"/>
      <c r="I70" s="94"/>
    </row>
    <row r="71" customFormat="false" ht="15.75" hidden="false" customHeight="false" outlineLevel="0" collapsed="false">
      <c r="A71" s="79" t="s">
        <v>79</v>
      </c>
      <c r="B71" s="79"/>
      <c r="C71" s="79"/>
      <c r="D71" s="79"/>
      <c r="E71" s="79"/>
      <c r="F71" s="79"/>
      <c r="G71" s="79"/>
      <c r="H71" s="79"/>
      <c r="I71" s="79"/>
    </row>
    <row r="72" customFormat="false" ht="15.75" hidden="false" customHeight="false" outlineLevel="0" collapsed="false">
      <c r="A72" s="62" t="s">
        <v>80</v>
      </c>
      <c r="B72" s="81" t="s">
        <v>81</v>
      </c>
      <c r="C72" s="81"/>
      <c r="D72" s="81"/>
      <c r="E72" s="81"/>
      <c r="F72" s="81"/>
      <c r="G72" s="81"/>
      <c r="H72" s="81"/>
      <c r="I72" s="474" t="s">
        <v>35</v>
      </c>
    </row>
    <row r="73" customFormat="false" ht="30.75" hidden="false" customHeight="true" outlineLevel="0" collapsed="false">
      <c r="A73" s="17" t="s">
        <v>8</v>
      </c>
      <c r="B73" s="95" t="s">
        <v>82</v>
      </c>
      <c r="C73" s="95"/>
      <c r="D73" s="95"/>
      <c r="E73" s="95"/>
      <c r="F73" s="95"/>
      <c r="G73" s="95"/>
      <c r="H73" s="95"/>
      <c r="I73" s="482" t="n">
        <f aca="false">ROUND(I42/12,2)</f>
        <v>240.65</v>
      </c>
      <c r="K73" s="66"/>
    </row>
    <row r="74" customFormat="false" ht="15.75" hidden="false" customHeight="false" outlineLevel="0" collapsed="false">
      <c r="A74" s="97" t="s">
        <v>83</v>
      </c>
      <c r="B74" s="97"/>
      <c r="C74" s="97"/>
      <c r="D74" s="97"/>
      <c r="E74" s="97"/>
      <c r="F74" s="97"/>
      <c r="G74" s="97"/>
      <c r="H74" s="97"/>
      <c r="I74" s="475" t="n">
        <f aca="false">SUM(I73:I73)</f>
        <v>240.65</v>
      </c>
      <c r="K74" s="66"/>
    </row>
    <row r="75" customFormat="false" ht="15.75" hidden="false" customHeight="false" outlineLevel="0" collapsed="false">
      <c r="A75" s="17" t="s">
        <v>10</v>
      </c>
      <c r="B75" s="83" t="s">
        <v>84</v>
      </c>
      <c r="C75" s="83"/>
      <c r="D75" s="83"/>
      <c r="E75" s="83"/>
      <c r="F75" s="83"/>
      <c r="G75" s="83"/>
      <c r="H75" s="83"/>
      <c r="I75" s="475" t="n">
        <f aca="false">ROUND(I74*H68,2)</f>
        <v>84.95</v>
      </c>
      <c r="K75" s="66"/>
    </row>
    <row r="76" customFormat="false" ht="15.75" hidden="false" customHeight="false" outlineLevel="0" collapsed="false">
      <c r="A76" s="60" t="s">
        <v>76</v>
      </c>
      <c r="B76" s="60"/>
      <c r="C76" s="60"/>
      <c r="D76" s="60"/>
      <c r="E76" s="60"/>
      <c r="F76" s="60"/>
      <c r="G76" s="60"/>
      <c r="H76" s="60"/>
      <c r="I76" s="476" t="n">
        <f aca="false">SUM(I74:I75)</f>
        <v>325.6</v>
      </c>
      <c r="K76" s="66"/>
    </row>
    <row r="77" customFormat="false" ht="15.75" hidden="false" customHeight="false" outlineLevel="0" collapsed="false">
      <c r="A77" s="79" t="s">
        <v>85</v>
      </c>
      <c r="B77" s="79"/>
      <c r="C77" s="79"/>
      <c r="D77" s="79"/>
      <c r="E77" s="79"/>
      <c r="F77" s="79"/>
      <c r="G77" s="79"/>
      <c r="H77" s="79"/>
      <c r="I77" s="79"/>
    </row>
    <row r="78" customFormat="false" ht="15.75" hidden="false" customHeight="false" outlineLevel="0" collapsed="false">
      <c r="A78" s="62" t="s">
        <v>86</v>
      </c>
      <c r="B78" s="81" t="s">
        <v>87</v>
      </c>
      <c r="C78" s="81"/>
      <c r="D78" s="81"/>
      <c r="E78" s="81"/>
      <c r="F78" s="81"/>
      <c r="G78" s="81"/>
      <c r="H78" s="81"/>
      <c r="I78" s="474" t="s">
        <v>35</v>
      </c>
    </row>
    <row r="79" customFormat="false" ht="15.75" hidden="false" customHeight="false" outlineLevel="0" collapsed="false">
      <c r="A79" s="17" t="s">
        <v>8</v>
      </c>
      <c r="B79" s="52" t="s">
        <v>88</v>
      </c>
      <c r="C79" s="52"/>
      <c r="D79" s="52"/>
      <c r="E79" s="52"/>
      <c r="F79" s="52"/>
      <c r="G79" s="52"/>
      <c r="H79" s="52"/>
      <c r="I79" s="479" t="n">
        <f aca="false">ROUND((((I42+I42/3)*(4/12))/12)*0.02,2)</f>
        <v>2.14</v>
      </c>
    </row>
    <row r="80" customFormat="false" ht="15.75" hidden="false" customHeight="false" outlineLevel="0" collapsed="false">
      <c r="A80" s="17" t="s">
        <v>10</v>
      </c>
      <c r="B80" s="83" t="s">
        <v>89</v>
      </c>
      <c r="C80" s="83"/>
      <c r="D80" s="83"/>
      <c r="E80" s="83"/>
      <c r="F80" s="83"/>
      <c r="G80" s="83"/>
      <c r="H80" s="83"/>
      <c r="I80" s="479" t="n">
        <f aca="false">ROUND(I79*H68,2)</f>
        <v>0.76</v>
      </c>
    </row>
    <row r="81" customFormat="false" ht="15.75" hidden="false" customHeight="false" outlineLevel="0" collapsed="false">
      <c r="A81" s="60" t="s">
        <v>76</v>
      </c>
      <c r="B81" s="60"/>
      <c r="C81" s="60"/>
      <c r="D81" s="60"/>
      <c r="E81" s="60"/>
      <c r="F81" s="60"/>
      <c r="G81" s="60"/>
      <c r="H81" s="60"/>
      <c r="I81" s="476" t="n">
        <f aca="false">SUM(I79:I80)</f>
        <v>2.9</v>
      </c>
    </row>
    <row r="82" customFormat="false" ht="15.75" hidden="false" customHeight="false" outlineLevel="0" collapsed="false">
      <c r="A82" s="79" t="s">
        <v>90</v>
      </c>
      <c r="B82" s="79"/>
      <c r="C82" s="79"/>
      <c r="D82" s="79"/>
      <c r="E82" s="79"/>
      <c r="F82" s="79"/>
      <c r="G82" s="79"/>
      <c r="H82" s="79"/>
      <c r="I82" s="79"/>
    </row>
    <row r="83" customFormat="false" ht="15.75" hidden="false" customHeight="false" outlineLevel="0" collapsed="false">
      <c r="A83" s="62" t="s">
        <v>91</v>
      </c>
      <c r="B83" s="81" t="s">
        <v>92</v>
      </c>
      <c r="C83" s="81"/>
      <c r="D83" s="81"/>
      <c r="E83" s="81"/>
      <c r="F83" s="81"/>
      <c r="G83" s="81"/>
      <c r="H83" s="81"/>
      <c r="I83" s="474" t="s">
        <v>35</v>
      </c>
    </row>
    <row r="84" customFormat="false" ht="25.5" hidden="false" customHeight="true" outlineLevel="0" collapsed="false">
      <c r="A84" s="17" t="s">
        <v>8</v>
      </c>
      <c r="B84" s="99" t="s">
        <v>93</v>
      </c>
      <c r="C84" s="99"/>
      <c r="D84" s="99"/>
      <c r="E84" s="99"/>
      <c r="F84" s="99"/>
      <c r="G84" s="99"/>
      <c r="H84" s="99"/>
      <c r="I84" s="475" t="n">
        <f aca="false">ROUND((I42/12)*(30/30)*0.05,2)</f>
        <v>12.03</v>
      </c>
    </row>
    <row r="85" customFormat="false" ht="15.75" hidden="false" customHeight="true" outlineLevel="0" collapsed="false">
      <c r="A85" s="17" t="s">
        <v>10</v>
      </c>
      <c r="B85" s="83" t="s">
        <v>94</v>
      </c>
      <c r="C85" s="83"/>
      <c r="D85" s="83"/>
      <c r="E85" s="83"/>
      <c r="F85" s="83"/>
      <c r="G85" s="83"/>
      <c r="H85" s="83"/>
      <c r="I85" s="475" t="n">
        <f aca="false">ROUND(I84*H65,2)</f>
        <v>0.96</v>
      </c>
    </row>
    <row r="86" customFormat="false" ht="49.5" hidden="false" customHeight="true" outlineLevel="0" collapsed="false">
      <c r="A86" s="17" t="s">
        <v>12</v>
      </c>
      <c r="B86" s="95" t="s">
        <v>95</v>
      </c>
      <c r="C86" s="95"/>
      <c r="D86" s="95"/>
      <c r="E86" s="95"/>
      <c r="F86" s="95"/>
      <c r="G86" s="95"/>
      <c r="H86" s="95"/>
      <c r="I86" s="482" t="n">
        <f aca="false">ROUND(0.0024*I42,2)</f>
        <v>6.93</v>
      </c>
      <c r="K86" s="66"/>
    </row>
    <row r="87" customFormat="false" ht="30.75" hidden="false" customHeight="true" outlineLevel="0" collapsed="false">
      <c r="A87" s="100" t="s">
        <v>14</v>
      </c>
      <c r="B87" s="99" t="s">
        <v>96</v>
      </c>
      <c r="C87" s="99"/>
      <c r="D87" s="99"/>
      <c r="E87" s="99"/>
      <c r="F87" s="99"/>
      <c r="G87" s="99"/>
      <c r="H87" s="99"/>
      <c r="I87" s="475" t="n">
        <v>0</v>
      </c>
      <c r="N87" s="101"/>
    </row>
    <row r="88" customFormat="false" ht="18" hidden="false" customHeight="true" outlineLevel="0" collapsed="false">
      <c r="A88" s="17" t="s">
        <v>40</v>
      </c>
      <c r="B88" s="83" t="s">
        <v>97</v>
      </c>
      <c r="C88" s="83"/>
      <c r="D88" s="83"/>
      <c r="E88" s="83"/>
      <c r="F88" s="83"/>
      <c r="G88" s="83"/>
      <c r="H88" s="83"/>
      <c r="I88" s="475" t="n">
        <f aca="false">ROUND(I87*H68,2)</f>
        <v>0</v>
      </c>
      <c r="J88" s="13"/>
      <c r="K88" s="13"/>
      <c r="L88" s="102"/>
    </row>
    <row r="89" customFormat="false" ht="48.75" hidden="false" customHeight="true" outlineLevel="0" collapsed="false">
      <c r="A89" s="17" t="s">
        <v>42</v>
      </c>
      <c r="B89" s="95" t="s">
        <v>98</v>
      </c>
      <c r="C89" s="95"/>
      <c r="D89" s="95"/>
      <c r="E89" s="95"/>
      <c r="F89" s="95"/>
      <c r="G89" s="95"/>
      <c r="H89" s="95"/>
      <c r="I89" s="482" t="n">
        <f aca="false">ROUND(0.0476*I42,2)</f>
        <v>137.46</v>
      </c>
      <c r="J89" s="13"/>
      <c r="K89" s="66"/>
      <c r="L89" s="13"/>
    </row>
    <row r="90" customFormat="false" ht="20.25" hidden="false" customHeight="true" outlineLevel="0" collapsed="false">
      <c r="A90" s="60" t="s">
        <v>76</v>
      </c>
      <c r="B90" s="60"/>
      <c r="C90" s="60"/>
      <c r="D90" s="60"/>
      <c r="E90" s="60"/>
      <c r="F90" s="60"/>
      <c r="G90" s="60"/>
      <c r="H90" s="60"/>
      <c r="I90" s="476" t="n">
        <f aca="false">SUM(I84:I89)</f>
        <v>157.38</v>
      </c>
    </row>
    <row r="91" customFormat="false" ht="20.25" hidden="false" customHeight="true" outlineLevel="0" collapsed="false">
      <c r="A91" s="79" t="s">
        <v>99</v>
      </c>
      <c r="B91" s="79"/>
      <c r="C91" s="79"/>
      <c r="D91" s="79"/>
      <c r="E91" s="79"/>
      <c r="F91" s="79"/>
      <c r="G91" s="79"/>
      <c r="H91" s="79"/>
      <c r="I91" s="79"/>
    </row>
    <row r="92" customFormat="false" ht="15.75" hidden="false" customHeight="false" outlineLevel="0" collapsed="false">
      <c r="A92" s="62" t="s">
        <v>100</v>
      </c>
      <c r="B92" s="81" t="s">
        <v>101</v>
      </c>
      <c r="C92" s="81"/>
      <c r="D92" s="81"/>
      <c r="E92" s="81"/>
      <c r="F92" s="81"/>
      <c r="G92" s="81"/>
      <c r="H92" s="81"/>
      <c r="I92" s="474" t="s">
        <v>35</v>
      </c>
    </row>
    <row r="93" customFormat="false" ht="49.5" hidden="false" customHeight="true" outlineLevel="0" collapsed="false">
      <c r="A93" s="17" t="s">
        <v>8</v>
      </c>
      <c r="B93" s="95" t="s">
        <v>102</v>
      </c>
      <c r="C93" s="95"/>
      <c r="D93" s="95"/>
      <c r="E93" s="95"/>
      <c r="F93" s="95"/>
      <c r="G93" s="95"/>
      <c r="H93" s="95"/>
      <c r="I93" s="482" t="n">
        <f aca="false">ROUND(0.121*I42,2)</f>
        <v>349.42</v>
      </c>
      <c r="K93" s="66"/>
    </row>
    <row r="94" customFormat="false" ht="17.25" hidden="false" customHeight="true" outlineLevel="0" collapsed="false">
      <c r="A94" s="17" t="s">
        <v>10</v>
      </c>
      <c r="B94" s="52" t="s">
        <v>103</v>
      </c>
      <c r="C94" s="52"/>
      <c r="D94" s="52"/>
      <c r="E94" s="52"/>
      <c r="F94" s="52"/>
      <c r="G94" s="52"/>
      <c r="H94" s="52"/>
      <c r="I94" s="475" t="n">
        <f aca="false">ROUND(((I42/30)*5)/12,2)</f>
        <v>40.11</v>
      </c>
    </row>
    <row r="95" customFormat="false" ht="16.5" hidden="false" customHeight="true" outlineLevel="0" collapsed="false">
      <c r="A95" s="17" t="s">
        <v>12</v>
      </c>
      <c r="B95" s="52" t="s">
        <v>104</v>
      </c>
      <c r="C95" s="52"/>
      <c r="D95" s="52"/>
      <c r="E95" s="52"/>
      <c r="F95" s="52"/>
      <c r="G95" s="52"/>
      <c r="H95" s="52"/>
      <c r="I95" s="475" t="n">
        <f aca="false">ROUND((((I42/30)*5)/12)*0.015,2)</f>
        <v>0.6</v>
      </c>
    </row>
    <row r="96" customFormat="false" ht="17.25" hidden="false" customHeight="true" outlineLevel="0" collapsed="false">
      <c r="A96" s="17" t="s">
        <v>14</v>
      </c>
      <c r="B96" s="52" t="s">
        <v>105</v>
      </c>
      <c r="C96" s="52"/>
      <c r="D96" s="52"/>
      <c r="E96" s="52"/>
      <c r="F96" s="52"/>
      <c r="G96" s="52"/>
      <c r="H96" s="52"/>
      <c r="I96" s="475" t="n">
        <f aca="false">ROUND(((I42/30)*2.96)/12,2)</f>
        <v>23.74</v>
      </c>
    </row>
    <row r="97" customFormat="false" ht="16.5" hidden="false" customHeight="true" outlineLevel="0" collapsed="false">
      <c r="A97" s="17" t="s">
        <v>40</v>
      </c>
      <c r="B97" s="52" t="s">
        <v>106</v>
      </c>
      <c r="C97" s="52"/>
      <c r="D97" s="52"/>
      <c r="E97" s="52"/>
      <c r="F97" s="52"/>
      <c r="G97" s="52"/>
      <c r="H97" s="52"/>
      <c r="I97" s="475" t="n">
        <f aca="false">ROUND((((I42/30)*15)/12)*0.0078,2)</f>
        <v>0.94</v>
      </c>
    </row>
    <row r="98" customFormat="false" ht="15.75" hidden="false" customHeight="false" outlineLevel="0" collapsed="false">
      <c r="A98" s="97" t="s">
        <v>83</v>
      </c>
      <c r="B98" s="97"/>
      <c r="C98" s="97"/>
      <c r="D98" s="97"/>
      <c r="E98" s="97"/>
      <c r="F98" s="97"/>
      <c r="G98" s="97"/>
      <c r="H98" s="97"/>
      <c r="I98" s="478" t="n">
        <f aca="false">SUM(I93:I97)</f>
        <v>414.81</v>
      </c>
      <c r="K98" s="66"/>
    </row>
    <row r="99" customFormat="false" ht="18" hidden="false" customHeight="true" outlineLevel="0" collapsed="false">
      <c r="A99" s="17" t="s">
        <v>70</v>
      </c>
      <c r="B99" s="83" t="s">
        <v>107</v>
      </c>
      <c r="C99" s="83"/>
      <c r="D99" s="83"/>
      <c r="E99" s="83"/>
      <c r="F99" s="83"/>
      <c r="G99" s="83"/>
      <c r="H99" s="83"/>
      <c r="I99" s="483" t="n">
        <f aca="false">ROUND(I98*H68,2)</f>
        <v>146.43</v>
      </c>
      <c r="K99" s="66"/>
    </row>
    <row r="100" customFormat="false" ht="15.75" hidden="false" customHeight="false" outlineLevel="0" collapsed="false">
      <c r="A100" s="60" t="s">
        <v>76</v>
      </c>
      <c r="B100" s="60"/>
      <c r="C100" s="60"/>
      <c r="D100" s="60"/>
      <c r="E100" s="60"/>
      <c r="F100" s="60"/>
      <c r="G100" s="60"/>
      <c r="H100" s="60"/>
      <c r="I100" s="476" t="n">
        <f aca="false">SUM(I98+I99)</f>
        <v>561.24</v>
      </c>
      <c r="K100" s="66"/>
    </row>
    <row r="101" customFormat="false" ht="15.75" hidden="false" customHeight="false" outlineLevel="0" collapsed="false">
      <c r="A101" s="104" t="s">
        <v>108</v>
      </c>
      <c r="B101" s="104"/>
      <c r="C101" s="104"/>
      <c r="D101" s="104"/>
      <c r="E101" s="104"/>
      <c r="F101" s="104"/>
      <c r="G101" s="104"/>
      <c r="H101" s="104"/>
      <c r="I101" s="104"/>
    </row>
    <row r="102" customFormat="false" ht="15.75" hidden="false" customHeight="false" outlineLevel="0" collapsed="false">
      <c r="A102" s="62" t="n">
        <v>4</v>
      </c>
      <c r="B102" s="81" t="s">
        <v>109</v>
      </c>
      <c r="C102" s="81"/>
      <c r="D102" s="81"/>
      <c r="E102" s="81"/>
      <c r="F102" s="81"/>
      <c r="G102" s="81"/>
      <c r="H102" s="81"/>
      <c r="I102" s="474" t="s">
        <v>35</v>
      </c>
    </row>
    <row r="103" customFormat="false" ht="15.75" hidden="false" customHeight="false" outlineLevel="0" collapsed="false">
      <c r="A103" s="17" t="s">
        <v>61</v>
      </c>
      <c r="B103" s="83" t="s">
        <v>62</v>
      </c>
      <c r="C103" s="83"/>
      <c r="D103" s="83"/>
      <c r="E103" s="83"/>
      <c r="F103" s="83"/>
      <c r="G103" s="83"/>
      <c r="H103" s="83"/>
      <c r="I103" s="479" t="n">
        <f aca="false">I68</f>
        <v>887.44</v>
      </c>
    </row>
    <row r="104" customFormat="false" ht="15.75" hidden="false" customHeight="false" outlineLevel="0" collapsed="false">
      <c r="A104" s="17" t="s">
        <v>80</v>
      </c>
      <c r="B104" s="83" t="s">
        <v>110</v>
      </c>
      <c r="C104" s="83"/>
      <c r="D104" s="83"/>
      <c r="E104" s="83"/>
      <c r="F104" s="83"/>
      <c r="G104" s="83"/>
      <c r="H104" s="83"/>
      <c r="I104" s="479" t="n">
        <f aca="false">I76</f>
        <v>325.6</v>
      </c>
    </row>
    <row r="105" customFormat="false" ht="15.75" hidden="false" customHeight="false" outlineLevel="0" collapsed="false">
      <c r="A105" s="17" t="s">
        <v>86</v>
      </c>
      <c r="B105" s="83" t="s">
        <v>87</v>
      </c>
      <c r="C105" s="83"/>
      <c r="D105" s="83"/>
      <c r="E105" s="83"/>
      <c r="F105" s="83"/>
      <c r="G105" s="83"/>
      <c r="H105" s="83"/>
      <c r="I105" s="479" t="n">
        <f aca="false">I81</f>
        <v>2.9</v>
      </c>
    </row>
    <row r="106" customFormat="false" ht="15.75" hidden="false" customHeight="false" outlineLevel="0" collapsed="false">
      <c r="A106" s="17" t="s">
        <v>91</v>
      </c>
      <c r="B106" s="83" t="s">
        <v>111</v>
      </c>
      <c r="C106" s="83"/>
      <c r="D106" s="83"/>
      <c r="E106" s="83"/>
      <c r="F106" s="83"/>
      <c r="G106" s="83"/>
      <c r="H106" s="83"/>
      <c r="I106" s="479" t="n">
        <f aca="false">I90</f>
        <v>157.38</v>
      </c>
    </row>
    <row r="107" customFormat="false" ht="15.75" hidden="false" customHeight="false" outlineLevel="0" collapsed="false">
      <c r="A107" s="17" t="s">
        <v>100</v>
      </c>
      <c r="B107" s="83" t="s">
        <v>112</v>
      </c>
      <c r="C107" s="83"/>
      <c r="D107" s="83"/>
      <c r="E107" s="83"/>
      <c r="F107" s="83"/>
      <c r="G107" s="83"/>
      <c r="H107" s="83"/>
      <c r="I107" s="479" t="n">
        <f aca="false">I100</f>
        <v>561.24</v>
      </c>
    </row>
    <row r="108" customFormat="false" ht="15.75" hidden="false" customHeight="false" outlineLevel="0" collapsed="false">
      <c r="A108" s="60" t="s">
        <v>76</v>
      </c>
      <c r="B108" s="60"/>
      <c r="C108" s="60"/>
      <c r="D108" s="60"/>
      <c r="E108" s="60"/>
      <c r="F108" s="60"/>
      <c r="G108" s="60"/>
      <c r="H108" s="60"/>
      <c r="I108" s="476" t="n">
        <f aca="false">SUM(I103:I107)</f>
        <v>1934.56</v>
      </c>
      <c r="K108" s="106"/>
    </row>
    <row r="109" customFormat="false" ht="16.5" hidden="false" customHeight="true" outlineLevel="0" collapsed="false">
      <c r="A109" s="107" t="s">
        <v>113</v>
      </c>
      <c r="B109" s="107"/>
      <c r="C109" s="107"/>
      <c r="D109" s="107"/>
      <c r="E109" s="107"/>
      <c r="F109" s="107"/>
      <c r="G109" s="107"/>
      <c r="H109" s="107"/>
      <c r="I109" s="107"/>
    </row>
    <row r="110" customFormat="false" ht="15.75" hidden="false" customHeight="false" outlineLevel="0" collapsed="false">
      <c r="A110" s="62" t="n">
        <v>5</v>
      </c>
      <c r="B110" s="63" t="s">
        <v>114</v>
      </c>
      <c r="C110" s="63"/>
      <c r="D110" s="63"/>
      <c r="E110" s="63"/>
      <c r="F110" s="63"/>
      <c r="G110" s="63"/>
      <c r="H110" s="108" t="s">
        <v>63</v>
      </c>
      <c r="I110" s="474" t="s">
        <v>35</v>
      </c>
    </row>
    <row r="111" customFormat="false" ht="47.25" hidden="false" customHeight="true" outlineLevel="0" collapsed="false">
      <c r="A111" s="109" t="s">
        <v>115</v>
      </c>
      <c r="B111" s="109"/>
      <c r="C111" s="109"/>
      <c r="D111" s="109"/>
      <c r="E111" s="109"/>
      <c r="F111" s="109"/>
      <c r="G111" s="109"/>
      <c r="H111" s="110" t="n">
        <v>0</v>
      </c>
      <c r="I111" s="484" t="n">
        <f aca="false">(I42+I51+I56+I108)</f>
        <v>5717.83225</v>
      </c>
    </row>
    <row r="112" customFormat="false" ht="15.75" hidden="false" customHeight="false" outlineLevel="0" collapsed="false">
      <c r="A112" s="17" t="s">
        <v>8</v>
      </c>
      <c r="B112" s="83" t="s">
        <v>116</v>
      </c>
      <c r="C112" s="83"/>
      <c r="D112" s="83"/>
      <c r="E112" s="83"/>
      <c r="F112" s="83"/>
      <c r="G112" s="83"/>
      <c r="H112" s="112" t="n">
        <f aca="false">'São Borja 8.1'!H112</f>
        <v>0.1207</v>
      </c>
      <c r="I112" s="475" t="n">
        <f aca="false">ROUND(I111*H112,2)</f>
        <v>690.14</v>
      </c>
      <c r="J112" s="113"/>
    </row>
    <row r="113" customFormat="false" ht="45" hidden="false" customHeight="true" outlineLevel="0" collapsed="false">
      <c r="A113" s="109" t="s">
        <v>117</v>
      </c>
      <c r="B113" s="109"/>
      <c r="C113" s="109"/>
      <c r="D113" s="109"/>
      <c r="E113" s="109"/>
      <c r="F113" s="109"/>
      <c r="G113" s="109"/>
      <c r="H113" s="114" t="n">
        <v>0</v>
      </c>
      <c r="I113" s="485" t="n">
        <f aca="false">I111+I112</f>
        <v>6407.97225</v>
      </c>
      <c r="J113" s="113"/>
    </row>
    <row r="114" customFormat="false" ht="15.75" hidden="false" customHeight="false" outlineLevel="0" collapsed="false">
      <c r="A114" s="17" t="s">
        <v>10</v>
      </c>
      <c r="B114" s="83" t="s">
        <v>118</v>
      </c>
      <c r="C114" s="83"/>
      <c r="D114" s="83"/>
      <c r="E114" s="83"/>
      <c r="F114" s="83"/>
      <c r="G114" s="83"/>
      <c r="H114" s="112" t="n">
        <f aca="false">'São Borja 8.1'!H114</f>
        <v>0.0818</v>
      </c>
      <c r="I114" s="475" t="n">
        <f aca="false">ROUND(I113*H114,2)</f>
        <v>524.17</v>
      </c>
      <c r="J114" s="116"/>
    </row>
    <row r="115" customFormat="false" ht="45" hidden="false" customHeight="true" outlineLevel="0" collapsed="false">
      <c r="A115" s="109" t="s">
        <v>119</v>
      </c>
      <c r="B115" s="109"/>
      <c r="C115" s="109"/>
      <c r="D115" s="109"/>
      <c r="E115" s="109"/>
      <c r="F115" s="109"/>
      <c r="G115" s="109"/>
      <c r="H115" s="117" t="n">
        <v>0</v>
      </c>
      <c r="I115" s="486" t="n">
        <f aca="false">I113+I114</f>
        <v>6932.14225</v>
      </c>
      <c r="J115" s="116"/>
    </row>
    <row r="116" customFormat="false" ht="15.75" hidden="false" customHeight="false" outlineLevel="0" collapsed="false">
      <c r="A116" s="17" t="s">
        <v>12</v>
      </c>
      <c r="B116" s="83" t="s">
        <v>120</v>
      </c>
      <c r="C116" s="83"/>
      <c r="D116" s="83"/>
      <c r="E116" s="83"/>
      <c r="F116" s="83"/>
      <c r="G116" s="83"/>
      <c r="H116" s="119" t="s">
        <v>198</v>
      </c>
      <c r="I116" s="487" t="s">
        <v>198</v>
      </c>
      <c r="J116" s="116"/>
    </row>
    <row r="117" customFormat="false" ht="15.75" hidden="false" customHeight="false" outlineLevel="0" collapsed="false">
      <c r="A117" s="17"/>
      <c r="B117" s="83" t="s">
        <v>121</v>
      </c>
      <c r="C117" s="83"/>
      <c r="D117" s="83"/>
      <c r="E117" s="83"/>
      <c r="F117" s="83"/>
      <c r="G117" s="83"/>
      <c r="H117" s="119" t="s">
        <v>198</v>
      </c>
      <c r="I117" s="487" t="s">
        <v>198</v>
      </c>
    </row>
    <row r="118" customFormat="false" ht="29.25" hidden="false" customHeight="true" outlineLevel="0" collapsed="false">
      <c r="A118" s="17"/>
      <c r="B118" s="67" t="s">
        <v>199</v>
      </c>
      <c r="C118" s="67"/>
      <c r="D118" s="67"/>
      <c r="E118" s="67"/>
      <c r="F118" s="67"/>
      <c r="G118" s="67"/>
      <c r="H118" s="121" t="n">
        <v>0.03</v>
      </c>
      <c r="I118" s="475" t="n">
        <f aca="false">ROUND(($I$115/(1-H125))*H118,2)</f>
        <v>227.66</v>
      </c>
    </row>
    <row r="119" customFormat="false" ht="32.25" hidden="false" customHeight="true" outlineLevel="0" collapsed="false">
      <c r="A119" s="17"/>
      <c r="B119" s="67" t="s">
        <v>200</v>
      </c>
      <c r="C119" s="67"/>
      <c r="D119" s="67"/>
      <c r="E119" s="67"/>
      <c r="F119" s="67"/>
      <c r="G119" s="67"/>
      <c r="H119" s="121" t="n">
        <v>0.0065</v>
      </c>
      <c r="I119" s="475" t="n">
        <f aca="false">ROUND(($I$115/(1-H125))*H119,2)</f>
        <v>49.33</v>
      </c>
      <c r="K119" s="66"/>
    </row>
    <row r="120" customFormat="false" ht="29.25" hidden="false" customHeight="true" outlineLevel="0" collapsed="false">
      <c r="A120" s="17"/>
      <c r="B120" s="122" t="s">
        <v>124</v>
      </c>
      <c r="C120" s="122"/>
      <c r="D120" s="122"/>
      <c r="E120" s="122"/>
      <c r="F120" s="122"/>
      <c r="G120" s="122"/>
      <c r="H120" s="121" t="s">
        <v>198</v>
      </c>
      <c r="I120" s="487" t="s">
        <v>198</v>
      </c>
      <c r="K120" s="66"/>
    </row>
    <row r="121" customFormat="false" ht="15.75" hidden="false" customHeight="false" outlineLevel="0" collapsed="false">
      <c r="A121" s="17"/>
      <c r="B121" s="83" t="s">
        <v>125</v>
      </c>
      <c r="C121" s="83"/>
      <c r="D121" s="83"/>
      <c r="E121" s="83"/>
      <c r="F121" s="83"/>
      <c r="G121" s="83"/>
      <c r="H121" s="119" t="s">
        <v>198</v>
      </c>
      <c r="I121" s="487" t="s">
        <v>198</v>
      </c>
    </row>
    <row r="122" customFormat="false" ht="15.75" hidden="false" customHeight="false" outlineLevel="0" collapsed="false">
      <c r="A122" s="17"/>
      <c r="B122" s="83" t="s">
        <v>126</v>
      </c>
      <c r="C122" s="83"/>
      <c r="D122" s="83"/>
      <c r="E122" s="83"/>
      <c r="F122" s="83"/>
      <c r="G122" s="83"/>
      <c r="H122" s="119" t="s">
        <v>198</v>
      </c>
      <c r="I122" s="487" t="s">
        <v>198</v>
      </c>
      <c r="K122" s="66"/>
    </row>
    <row r="123" customFormat="false" ht="15.75" hidden="false" customHeight="false" outlineLevel="0" collapsed="false">
      <c r="A123" s="17"/>
      <c r="B123" s="52" t="s">
        <v>292</v>
      </c>
      <c r="C123" s="52"/>
      <c r="D123" s="52"/>
      <c r="E123" s="52"/>
      <c r="F123" s="52"/>
      <c r="G123" s="52"/>
      <c r="H123" s="124" t="n">
        <v>0.05</v>
      </c>
      <c r="I123" s="475" t="n">
        <f aca="false">ROUND(($I$115/(1-H125))*H123,2)</f>
        <v>379.43</v>
      </c>
    </row>
    <row r="124" customFormat="false" ht="15.75" hidden="false" customHeight="false" outlineLevel="0" collapsed="false">
      <c r="A124" s="125" t="s">
        <v>76</v>
      </c>
      <c r="B124" s="125"/>
      <c r="C124" s="125"/>
      <c r="D124" s="125"/>
      <c r="E124" s="125"/>
      <c r="F124" s="125"/>
      <c r="G124" s="125"/>
      <c r="H124" s="125"/>
      <c r="I124" s="488" t="n">
        <f aca="false">I112+I114+I118+I119+I123</f>
        <v>1870.73</v>
      </c>
    </row>
    <row r="125" customFormat="false" ht="15.75" hidden="false" customHeight="false" outlineLevel="0" collapsed="false">
      <c r="A125" s="127" t="s">
        <v>128</v>
      </c>
      <c r="B125" s="127"/>
      <c r="C125" s="127"/>
      <c r="D125" s="127"/>
      <c r="E125" s="127"/>
      <c r="F125" s="127"/>
      <c r="G125" s="127"/>
      <c r="H125" s="128" t="n">
        <f aca="false">SUM(H118:H123)</f>
        <v>0.0865</v>
      </c>
      <c r="I125" s="489" t="n">
        <f aca="false">SUM(I118+I119+I123)</f>
        <v>656.42</v>
      </c>
    </row>
    <row r="126" customFormat="false" ht="15.75" hidden="false" customHeight="false" outlineLevel="0" collapsed="false">
      <c r="A126" s="130" t="s">
        <v>129</v>
      </c>
      <c r="B126" s="130"/>
      <c r="C126" s="293" t="s">
        <v>130</v>
      </c>
      <c r="D126" s="293"/>
      <c r="E126" s="293"/>
      <c r="F126" s="293"/>
      <c r="G126" s="293"/>
      <c r="H126" s="293"/>
      <c r="I126" s="293"/>
    </row>
    <row r="127" customFormat="false" ht="15" hidden="false" customHeight="false" outlineLevel="0" collapsed="false">
      <c r="A127" s="130"/>
      <c r="B127" s="130"/>
      <c r="C127" s="294" t="s">
        <v>131</v>
      </c>
      <c r="D127" s="294"/>
      <c r="E127" s="294"/>
      <c r="F127" s="294"/>
      <c r="G127" s="294"/>
      <c r="H127" s="294"/>
      <c r="I127" s="294"/>
    </row>
    <row r="128" customFormat="false" ht="15.75" hidden="false" customHeight="false" outlineLevel="0" collapsed="false">
      <c r="A128" s="133" t="s">
        <v>132</v>
      </c>
      <c r="B128" s="133"/>
      <c r="C128" s="133"/>
      <c r="D128" s="133"/>
      <c r="E128" s="133"/>
      <c r="F128" s="133"/>
      <c r="G128" s="133"/>
      <c r="H128" s="133"/>
      <c r="I128" s="133"/>
    </row>
    <row r="129" customFormat="false" ht="15.75" hidden="false" customHeight="false" outlineLevel="0" collapsed="false">
      <c r="A129" s="94" t="s">
        <v>133</v>
      </c>
      <c r="B129" s="94"/>
      <c r="C129" s="94"/>
      <c r="D129" s="94"/>
      <c r="E129" s="94"/>
      <c r="F129" s="94"/>
      <c r="G129" s="94"/>
      <c r="H129" s="94"/>
      <c r="I129" s="94"/>
    </row>
    <row r="130" customFormat="false" ht="15.75" hidden="false" customHeight="false" outlineLevel="0" collapsed="false">
      <c r="A130" s="295"/>
      <c r="B130" s="295"/>
      <c r="C130" s="295"/>
      <c r="D130" s="295"/>
      <c r="E130" s="295"/>
      <c r="F130" s="295"/>
      <c r="G130" s="295"/>
      <c r="H130" s="295"/>
      <c r="I130" s="295"/>
    </row>
    <row r="131" customFormat="false" ht="15.75" hidden="false" customHeight="false" outlineLevel="0" collapsed="false">
      <c r="A131" s="33" t="s">
        <v>134</v>
      </c>
      <c r="B131" s="33"/>
      <c r="C131" s="33"/>
      <c r="D131" s="33"/>
      <c r="E131" s="33"/>
      <c r="F131" s="33"/>
      <c r="G131" s="33"/>
      <c r="H131" s="33"/>
      <c r="I131" s="33"/>
    </row>
    <row r="132" customFormat="false" ht="15.75" hidden="false" customHeight="false" outlineLevel="0" collapsed="false">
      <c r="A132" s="135" t="s">
        <v>135</v>
      </c>
      <c r="B132" s="135"/>
      <c r="C132" s="135"/>
      <c r="D132" s="135"/>
      <c r="E132" s="135"/>
      <c r="F132" s="135"/>
      <c r="G132" s="135"/>
      <c r="H132" s="135"/>
      <c r="I132" s="135"/>
    </row>
    <row r="133" customFormat="false" ht="15.75" hidden="false" customHeight="false" outlineLevel="0" collapsed="false">
      <c r="A133" s="136" t="s">
        <v>136</v>
      </c>
      <c r="B133" s="136"/>
      <c r="C133" s="136"/>
      <c r="D133" s="136"/>
      <c r="E133" s="136"/>
      <c r="F133" s="136"/>
      <c r="G133" s="136"/>
      <c r="H133" s="136"/>
      <c r="I133" s="490" t="s">
        <v>35</v>
      </c>
    </row>
    <row r="134" customFormat="false" ht="15.75" hidden="false" customHeight="false" outlineLevel="0" collapsed="false">
      <c r="A134" s="14" t="s">
        <v>8</v>
      </c>
      <c r="B134" s="15" t="s">
        <v>137</v>
      </c>
      <c r="C134" s="15"/>
      <c r="D134" s="15"/>
      <c r="E134" s="15"/>
      <c r="F134" s="15"/>
      <c r="G134" s="15"/>
      <c r="H134" s="15"/>
      <c r="I134" s="491" t="n">
        <f aca="false">I42</f>
        <v>2887.756</v>
      </c>
    </row>
    <row r="135" customFormat="false" ht="15.75" hidden="false" customHeight="false" outlineLevel="0" collapsed="false">
      <c r="A135" s="14" t="s">
        <v>10</v>
      </c>
      <c r="B135" s="15" t="s">
        <v>138</v>
      </c>
      <c r="C135" s="15"/>
      <c r="D135" s="15"/>
      <c r="E135" s="15"/>
      <c r="F135" s="15"/>
      <c r="G135" s="15"/>
      <c r="H135" s="15"/>
      <c r="I135" s="491" t="n">
        <f aca="false">I51</f>
        <v>757.84</v>
      </c>
    </row>
    <row r="136" customFormat="false" ht="15.75" hidden="false" customHeight="false" outlineLevel="0" collapsed="false">
      <c r="A136" s="14" t="s">
        <v>12</v>
      </c>
      <c r="B136" s="15" t="s">
        <v>139</v>
      </c>
      <c r="C136" s="15"/>
      <c r="D136" s="15"/>
      <c r="E136" s="15"/>
      <c r="F136" s="15"/>
      <c r="G136" s="15"/>
      <c r="H136" s="15"/>
      <c r="I136" s="492" t="n">
        <f aca="false">I56</f>
        <v>137.67625</v>
      </c>
    </row>
    <row r="137" customFormat="false" ht="15.75" hidden="false" customHeight="false" outlineLevel="0" collapsed="false">
      <c r="A137" s="14" t="s">
        <v>14</v>
      </c>
      <c r="B137" s="15" t="s">
        <v>109</v>
      </c>
      <c r="C137" s="15"/>
      <c r="D137" s="15"/>
      <c r="E137" s="15"/>
      <c r="F137" s="15"/>
      <c r="G137" s="15"/>
      <c r="H137" s="15"/>
      <c r="I137" s="491" t="n">
        <f aca="false">I108</f>
        <v>1934.56</v>
      </c>
    </row>
    <row r="138" customFormat="false" ht="15.75" hidden="false" customHeight="false" outlineLevel="0" collapsed="false">
      <c r="A138" s="140" t="s">
        <v>140</v>
      </c>
      <c r="B138" s="140"/>
      <c r="C138" s="140"/>
      <c r="D138" s="140"/>
      <c r="E138" s="140"/>
      <c r="F138" s="140"/>
      <c r="G138" s="140"/>
      <c r="H138" s="140"/>
      <c r="I138" s="493" t="n">
        <f aca="false">SUM(I134:I137)</f>
        <v>5717.83225</v>
      </c>
    </row>
    <row r="139" customFormat="false" ht="15.75" hidden="false" customHeight="false" outlineLevel="0" collapsed="false">
      <c r="A139" s="14" t="s">
        <v>40</v>
      </c>
      <c r="B139" s="15" t="s">
        <v>141</v>
      </c>
      <c r="C139" s="15"/>
      <c r="D139" s="15"/>
      <c r="E139" s="15"/>
      <c r="F139" s="15"/>
      <c r="G139" s="15"/>
      <c r="H139" s="15"/>
      <c r="I139" s="491" t="n">
        <f aca="false">I124</f>
        <v>1870.73</v>
      </c>
    </row>
    <row r="140" customFormat="false" ht="15.75" hidden="false" customHeight="false" outlineLevel="0" collapsed="false">
      <c r="A140" s="143" t="s">
        <v>142</v>
      </c>
      <c r="B140" s="143"/>
      <c r="C140" s="143"/>
      <c r="D140" s="143"/>
      <c r="E140" s="143"/>
      <c r="F140" s="143"/>
      <c r="G140" s="143"/>
      <c r="H140" s="143"/>
      <c r="I140" s="494" t="n">
        <f aca="false">SUM(I138+I139)</f>
        <v>7588.56225</v>
      </c>
    </row>
    <row r="141" customFormat="false" ht="15.75" hidden="false" customHeight="false" outlineLevel="0" collapsed="false">
      <c r="A141" s="301"/>
      <c r="B141" s="301"/>
      <c r="C141" s="301"/>
      <c r="D141" s="301"/>
      <c r="E141" s="301"/>
      <c r="F141" s="301"/>
      <c r="G141" s="301"/>
      <c r="H141" s="301"/>
      <c r="I141" s="301"/>
    </row>
    <row r="142" customFormat="false" ht="15.75" hidden="false" customHeight="false" outlineLevel="0" collapsed="false">
      <c r="A142" s="33" t="s">
        <v>143</v>
      </c>
      <c r="B142" s="33"/>
      <c r="C142" s="33"/>
      <c r="D142" s="33"/>
      <c r="E142" s="33"/>
      <c r="F142" s="33"/>
      <c r="G142" s="33"/>
      <c r="H142" s="33"/>
      <c r="I142" s="33"/>
    </row>
    <row r="143" customFormat="false" ht="15.75" hidden="false" customHeight="false" outlineLevel="0" collapsed="false">
      <c r="A143" s="146" t="s">
        <v>144</v>
      </c>
      <c r="B143" s="146"/>
      <c r="C143" s="146"/>
      <c r="D143" s="146"/>
      <c r="E143" s="146"/>
      <c r="F143" s="146"/>
      <c r="G143" s="146"/>
      <c r="H143" s="146"/>
      <c r="I143" s="146"/>
    </row>
    <row r="144" customFormat="false" ht="47.25" hidden="false" customHeight="true" outlineLevel="0" collapsed="false">
      <c r="A144" s="147" t="s">
        <v>145</v>
      </c>
      <c r="B144" s="147"/>
      <c r="C144" s="148" t="s">
        <v>146</v>
      </c>
      <c r="D144" s="148"/>
      <c r="E144" s="149" t="s">
        <v>147</v>
      </c>
      <c r="F144" s="148" t="s">
        <v>148</v>
      </c>
      <c r="G144" s="148"/>
      <c r="H144" s="148" t="s">
        <v>149</v>
      </c>
      <c r="I144" s="495" t="s">
        <v>150</v>
      </c>
    </row>
    <row r="145" customFormat="false" ht="29.25" hidden="false" customHeight="true" outlineLevel="0" collapsed="false">
      <c r="A145" s="151" t="s">
        <v>26</v>
      </c>
      <c r="B145" s="151"/>
      <c r="C145" s="152" t="n">
        <f aca="false">I140</f>
        <v>7588.56225</v>
      </c>
      <c r="D145" s="152"/>
      <c r="E145" s="153" t="n">
        <v>2</v>
      </c>
      <c r="F145" s="154" t="n">
        <f aca="false">C145</f>
        <v>7588.56225</v>
      </c>
      <c r="G145" s="154"/>
      <c r="H145" s="155" t="n">
        <v>1</v>
      </c>
      <c r="I145" s="496" t="n">
        <f aca="false">F145*H145</f>
        <v>7588.56225</v>
      </c>
    </row>
    <row r="146" customFormat="false" ht="15.75" hidden="false" customHeight="false" outlineLevel="0" collapsed="false">
      <c r="A146" s="301"/>
      <c r="B146" s="301"/>
      <c r="C146" s="301"/>
      <c r="D146" s="301"/>
      <c r="E146" s="301"/>
      <c r="F146" s="301"/>
      <c r="G146" s="301"/>
      <c r="H146" s="301"/>
      <c r="I146" s="301"/>
    </row>
    <row r="147" customFormat="false" ht="15.75" hidden="false" customHeight="false" outlineLevel="0" collapsed="false">
      <c r="A147" s="33" t="s">
        <v>151</v>
      </c>
      <c r="B147" s="33"/>
      <c r="C147" s="33"/>
      <c r="D147" s="33"/>
      <c r="E147" s="33"/>
      <c r="F147" s="33"/>
      <c r="G147" s="33"/>
      <c r="H147" s="33"/>
      <c r="I147" s="33"/>
    </row>
    <row r="148" customFormat="false" ht="15.75" hidden="false" customHeight="false" outlineLevel="0" collapsed="false">
      <c r="A148" s="146" t="s">
        <v>152</v>
      </c>
      <c r="B148" s="146"/>
      <c r="C148" s="146"/>
      <c r="D148" s="146"/>
      <c r="E148" s="146"/>
      <c r="F148" s="146"/>
      <c r="G148" s="146"/>
      <c r="H148" s="146"/>
      <c r="I148" s="146"/>
    </row>
    <row r="149" customFormat="false" ht="15.75" hidden="false" customHeight="false" outlineLevel="0" collapsed="false">
      <c r="A149" s="157" t="s">
        <v>153</v>
      </c>
      <c r="B149" s="157"/>
      <c r="C149" s="157"/>
      <c r="D149" s="157"/>
      <c r="E149" s="157"/>
      <c r="F149" s="157"/>
      <c r="G149" s="157"/>
      <c r="H149" s="157"/>
      <c r="I149" s="157"/>
    </row>
    <row r="150" customFormat="false" ht="15.75" hidden="false" customHeight="false" outlineLevel="0" collapsed="false">
      <c r="A150" s="158" t="s">
        <v>8</v>
      </c>
      <c r="B150" s="15" t="s">
        <v>154</v>
      </c>
      <c r="C150" s="15"/>
      <c r="D150" s="15"/>
      <c r="E150" s="15"/>
      <c r="F150" s="15"/>
      <c r="G150" s="15"/>
      <c r="H150" s="15"/>
      <c r="I150" s="497" t="n">
        <f aca="false">F145</f>
        <v>7588.56225</v>
      </c>
    </row>
    <row r="151" customFormat="false" ht="15.75" hidden="false" customHeight="false" outlineLevel="0" collapsed="false">
      <c r="A151" s="158" t="s">
        <v>10</v>
      </c>
      <c r="B151" s="15" t="s">
        <v>155</v>
      </c>
      <c r="C151" s="15"/>
      <c r="D151" s="15"/>
      <c r="E151" s="15"/>
      <c r="F151" s="15"/>
      <c r="G151" s="15"/>
      <c r="H151" s="15"/>
      <c r="I151" s="498" t="n">
        <f aca="false">I145</f>
        <v>7588.56225</v>
      </c>
    </row>
    <row r="152" customFormat="false" ht="16.5" hidden="false" customHeight="true" outlineLevel="0" collapsed="false">
      <c r="A152" s="161" t="s">
        <v>12</v>
      </c>
      <c r="B152" s="162" t="s">
        <v>156</v>
      </c>
      <c r="C152" s="162"/>
      <c r="D152" s="162"/>
      <c r="E152" s="162"/>
      <c r="F152" s="162"/>
      <c r="G152" s="162"/>
      <c r="H152" s="162"/>
      <c r="I152" s="499" t="n">
        <f aca="false">I151*12</f>
        <v>91062.747</v>
      </c>
    </row>
  </sheetData>
  <mergeCells count="157">
    <mergeCell ref="A8:I8"/>
    <mergeCell ref="A9:I9"/>
    <mergeCell ref="A10:I10"/>
    <mergeCell ref="A11:I11"/>
    <mergeCell ref="A12:I12"/>
    <mergeCell ref="A13:I13"/>
    <mergeCell ref="A14:I14"/>
    <mergeCell ref="B15:H15"/>
    <mergeCell ref="B16:H16"/>
    <mergeCell ref="B17:H17"/>
    <mergeCell ref="B18:H18"/>
    <mergeCell ref="A19:I19"/>
    <mergeCell ref="A20:D20"/>
    <mergeCell ref="E20:F20"/>
    <mergeCell ref="G20:I20"/>
    <mergeCell ref="A21:D21"/>
    <mergeCell ref="E21:F22"/>
    <mergeCell ref="G21:I22"/>
    <mergeCell ref="A22:D22"/>
    <mergeCell ref="B23:I23"/>
    <mergeCell ref="A24:I24"/>
    <mergeCell ref="A25:I25"/>
    <mergeCell ref="A26:I26"/>
    <mergeCell ref="B27:H27"/>
    <mergeCell ref="B28:H28"/>
    <mergeCell ref="B29:H29"/>
    <mergeCell ref="B30:H30"/>
    <mergeCell ref="B31:H31"/>
    <mergeCell ref="B32:H32"/>
    <mergeCell ref="B33:H33"/>
    <mergeCell ref="A34:I34"/>
    <mergeCell ref="A35:I35"/>
    <mergeCell ref="B36:H36"/>
    <mergeCell ref="B37:H37"/>
    <mergeCell ref="B38:H38"/>
    <mergeCell ref="B39:H39"/>
    <mergeCell ref="B40:H40"/>
    <mergeCell ref="B41:H41"/>
    <mergeCell ref="A42:H42"/>
    <mergeCell ref="A43:I43"/>
    <mergeCell ref="B44:H44"/>
    <mergeCell ref="A45:A47"/>
    <mergeCell ref="B45:H45"/>
    <mergeCell ref="B46:G46"/>
    <mergeCell ref="B47:G47"/>
    <mergeCell ref="A48:A49"/>
    <mergeCell ref="B48:H48"/>
    <mergeCell ref="B49:G49"/>
    <mergeCell ref="B50:H50"/>
    <mergeCell ref="A51:H51"/>
    <mergeCell ref="A52:I52"/>
    <mergeCell ref="A53:I53"/>
    <mergeCell ref="B54:H54"/>
    <mergeCell ref="B55:H55"/>
    <mergeCell ref="A56:H56"/>
    <mergeCell ref="A57:I57"/>
    <mergeCell ref="A58:I58"/>
    <mergeCell ref="B59:G59"/>
    <mergeCell ref="B60:G60"/>
    <mergeCell ref="B61:G61"/>
    <mergeCell ref="B62:G62"/>
    <mergeCell ref="B63:G63"/>
    <mergeCell ref="B64:G64"/>
    <mergeCell ref="B65:G65"/>
    <mergeCell ref="B66:E66"/>
    <mergeCell ref="B67:G67"/>
    <mergeCell ref="A68:G68"/>
    <mergeCell ref="A69:I69"/>
    <mergeCell ref="A70:I70"/>
    <mergeCell ref="A71:I71"/>
    <mergeCell ref="B72:H72"/>
    <mergeCell ref="B73:H73"/>
    <mergeCell ref="A74:H74"/>
    <mergeCell ref="B75:H75"/>
    <mergeCell ref="A76:H76"/>
    <mergeCell ref="A77:I77"/>
    <mergeCell ref="B78:H78"/>
    <mergeCell ref="B79:H79"/>
    <mergeCell ref="B80:H80"/>
    <mergeCell ref="A81:H81"/>
    <mergeCell ref="A82:I82"/>
    <mergeCell ref="B83:H83"/>
    <mergeCell ref="B84:H84"/>
    <mergeCell ref="B85:H85"/>
    <mergeCell ref="B86:H86"/>
    <mergeCell ref="B87:H87"/>
    <mergeCell ref="B88:H88"/>
    <mergeCell ref="B89:H89"/>
    <mergeCell ref="A90:H90"/>
    <mergeCell ref="A91:I91"/>
    <mergeCell ref="B92:H92"/>
    <mergeCell ref="B93:H93"/>
    <mergeCell ref="B94:H94"/>
    <mergeCell ref="B95:H95"/>
    <mergeCell ref="B96:H96"/>
    <mergeCell ref="B97:H97"/>
    <mergeCell ref="A98:H98"/>
    <mergeCell ref="B99:H99"/>
    <mergeCell ref="A100:H100"/>
    <mergeCell ref="A101:I101"/>
    <mergeCell ref="B102:H102"/>
    <mergeCell ref="B103:H103"/>
    <mergeCell ref="B104:H104"/>
    <mergeCell ref="B105:H105"/>
    <mergeCell ref="B106:H106"/>
    <mergeCell ref="B107:H107"/>
    <mergeCell ref="A108:H108"/>
    <mergeCell ref="A109:I109"/>
    <mergeCell ref="B110:G110"/>
    <mergeCell ref="A111:G111"/>
    <mergeCell ref="B112:G112"/>
    <mergeCell ref="A113:G113"/>
    <mergeCell ref="B114:G114"/>
    <mergeCell ref="A115:G115"/>
    <mergeCell ref="A116:A123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A124:H124"/>
    <mergeCell ref="A125:G125"/>
    <mergeCell ref="A126:B127"/>
    <mergeCell ref="C126:I126"/>
    <mergeCell ref="C127:I127"/>
    <mergeCell ref="A128:I128"/>
    <mergeCell ref="A129:I129"/>
    <mergeCell ref="A130:I130"/>
    <mergeCell ref="A131:I131"/>
    <mergeCell ref="A132:I132"/>
    <mergeCell ref="A133:H133"/>
    <mergeCell ref="B134:H134"/>
    <mergeCell ref="B135:H135"/>
    <mergeCell ref="B136:H136"/>
    <mergeCell ref="B137:H137"/>
    <mergeCell ref="A138:H138"/>
    <mergeCell ref="B139:H139"/>
    <mergeCell ref="A140:H140"/>
    <mergeCell ref="A141:I141"/>
    <mergeCell ref="A142:I142"/>
    <mergeCell ref="A143:I143"/>
    <mergeCell ref="A144:B144"/>
    <mergeCell ref="C144:D144"/>
    <mergeCell ref="F144:G144"/>
    <mergeCell ref="A145:B145"/>
    <mergeCell ref="C145:D145"/>
    <mergeCell ref="F145:G145"/>
    <mergeCell ref="A146:I146"/>
    <mergeCell ref="A147:I147"/>
    <mergeCell ref="A148:I148"/>
    <mergeCell ref="A149:I149"/>
    <mergeCell ref="B150:H150"/>
    <mergeCell ref="B151:H151"/>
    <mergeCell ref="B152:H152"/>
  </mergeCells>
  <printOptions headings="false" gridLines="false" gridLinesSet="true" horizontalCentered="false" verticalCentered="false"/>
  <pageMargins left="0.698611111111111" right="0.698611111111111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6" man="true" max="16383" min="0"/>
    <brk id="108" man="true" max="16383" min="0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N150"/>
  <sheetViews>
    <sheetView showFormulas="false" showGridLines="true" showRowColHeaders="true" showZeros="true" rightToLeft="false" tabSelected="false" showOutlineSymbols="true" defaultGridColor="true" view="pageBreakPreview" topLeftCell="A138" colorId="64" zoomScale="76" zoomScaleNormal="100" zoomScalePageLayoutView="76" workbookViewId="0">
      <selection pane="topLeft" activeCell="I46" activeCellId="0" sqref="I46"/>
    </sheetView>
  </sheetViews>
  <sheetFormatPr defaultRowHeight="15" zeroHeight="false" outlineLevelRow="0" outlineLevelCol="0"/>
  <cols>
    <col collapsed="false" customWidth="true" hidden="false" outlineLevel="0" max="1" min="1" style="1" width="16.87"/>
    <col collapsed="false" customWidth="true" hidden="false" outlineLevel="0" max="2" min="2" style="1" width="17.71"/>
    <col collapsed="false" customWidth="true" hidden="false" outlineLevel="0" max="3" min="3" style="1" width="17.13"/>
    <col collapsed="false" customWidth="true" hidden="false" outlineLevel="0" max="4" min="4" style="1" width="16.29"/>
    <col collapsed="false" customWidth="true" hidden="false" outlineLevel="0" max="5" min="5" style="1" width="18.29"/>
    <col collapsed="false" customWidth="true" hidden="false" outlineLevel="0" max="6" min="6" style="1" width="18.12"/>
    <col collapsed="false" customWidth="true" hidden="false" outlineLevel="0" max="7" min="7" style="1" width="18"/>
    <col collapsed="false" customWidth="true" hidden="false" outlineLevel="0" max="8" min="8" style="1" width="22.43"/>
    <col collapsed="false" customWidth="true" hidden="false" outlineLevel="0" max="9" min="9" style="1" width="53.42"/>
    <col collapsed="false" customWidth="true" hidden="true" outlineLevel="0" max="11" min="10" style="1" width="9"/>
    <col collapsed="false" customWidth="true" hidden="false" outlineLevel="0" max="12" min="12" style="1" width="58.57"/>
    <col collapsed="false" customWidth="true" hidden="false" outlineLevel="0" max="1025" min="13" style="1" width="28.57"/>
  </cols>
  <sheetData>
    <row r="1" s="101" customFormat="true" ht="15.75" hidden="false" customHeight="false" outlineLevel="0" collapsed="false">
      <c r="A1" s="173" t="s">
        <v>178</v>
      </c>
      <c r="I1" s="209"/>
    </row>
    <row r="2" s="101" customFormat="true" ht="15.75" hidden="false" customHeight="false" outlineLevel="0" collapsed="false">
      <c r="A2" s="173" t="s">
        <v>179</v>
      </c>
      <c r="I2" s="209"/>
    </row>
    <row r="3" s="101" customFormat="true" ht="15.75" hidden="false" customHeight="false" outlineLevel="0" collapsed="false">
      <c r="A3" s="173" t="s">
        <v>180</v>
      </c>
      <c r="I3" s="209"/>
    </row>
    <row r="4" s="101" customFormat="true" ht="15.75" hidden="false" customHeight="false" outlineLevel="0" collapsed="false">
      <c r="A4" s="173" t="s">
        <v>181</v>
      </c>
      <c r="I4" s="209"/>
    </row>
    <row r="5" s="101" customFormat="true" ht="15.75" hidden="false" customHeight="false" outlineLevel="0" collapsed="false">
      <c r="A5" s="173" t="s">
        <v>182</v>
      </c>
      <c r="I5" s="209"/>
    </row>
    <row r="6" s="101" customFormat="true" ht="15.75" hidden="false" customHeight="false" outlineLevel="0" collapsed="false">
      <c r="A6" s="173" t="s">
        <v>183</v>
      </c>
      <c r="I6" s="209"/>
    </row>
    <row r="7" customFormat="false" ht="15.75" hidden="false" customHeight="false" outlineLevel="0" collapsed="false">
      <c r="A7" s="174" t="s">
        <v>184</v>
      </c>
      <c r="I7" s="171"/>
    </row>
    <row r="8" customFormat="false" ht="15.75" hidden="false" customHeight="false" outlineLevel="0" collapsed="false">
      <c r="A8" s="263" t="s">
        <v>1</v>
      </c>
      <c r="B8" s="263"/>
      <c r="C8" s="263"/>
      <c r="D8" s="263"/>
      <c r="E8" s="263"/>
      <c r="F8" s="263"/>
      <c r="G8" s="263"/>
      <c r="H8" s="263"/>
      <c r="I8" s="263"/>
    </row>
    <row r="9" customFormat="false" ht="15.75" hidden="false" customHeight="false" outlineLevel="0" collapsed="false">
      <c r="A9" s="4" t="s">
        <v>2</v>
      </c>
      <c r="B9" s="4"/>
      <c r="C9" s="4"/>
      <c r="D9" s="4"/>
      <c r="E9" s="4"/>
      <c r="F9" s="4"/>
      <c r="G9" s="4"/>
      <c r="H9" s="4"/>
      <c r="I9" s="4"/>
    </row>
    <row r="10" customFormat="false" ht="15.75" hidden="false" customHeight="false" outlineLevel="0" collapsed="false">
      <c r="A10" s="5" t="s">
        <v>3</v>
      </c>
      <c r="B10" s="5"/>
      <c r="C10" s="5"/>
      <c r="D10" s="5"/>
      <c r="E10" s="5"/>
      <c r="F10" s="5"/>
      <c r="G10" s="5"/>
      <c r="H10" s="5"/>
      <c r="I10" s="5"/>
    </row>
    <row r="11" customFormat="false" ht="15.75" hidden="false" customHeight="false" outlineLevel="0" collapsed="false">
      <c r="A11" s="6" t="s">
        <v>4</v>
      </c>
      <c r="B11" s="6"/>
      <c r="C11" s="6"/>
      <c r="D11" s="6"/>
      <c r="E11" s="6"/>
      <c r="F11" s="6"/>
      <c r="G11" s="6"/>
      <c r="H11" s="6"/>
      <c r="I11" s="6"/>
    </row>
    <row r="12" customFormat="false" ht="15.75" hidden="false" customHeight="false" outlineLevel="0" collapsed="false">
      <c r="A12" s="7" t="s">
        <v>5</v>
      </c>
      <c r="B12" s="7"/>
      <c r="C12" s="7"/>
      <c r="D12" s="7"/>
      <c r="E12" s="7"/>
      <c r="F12" s="7"/>
      <c r="G12" s="7"/>
      <c r="H12" s="7"/>
      <c r="I12" s="7"/>
    </row>
    <row r="13" customFormat="false" ht="15.75" hidden="false" customHeight="false" outlineLevel="0" collapsed="false">
      <c r="A13" s="8" t="s">
        <v>6</v>
      </c>
      <c r="B13" s="8"/>
      <c r="C13" s="8"/>
      <c r="D13" s="8"/>
      <c r="E13" s="8"/>
      <c r="F13" s="8"/>
      <c r="G13" s="8"/>
      <c r="H13" s="8"/>
      <c r="I13" s="8"/>
    </row>
    <row r="14" customFormat="false" ht="15.75" hidden="false" customHeight="false" outlineLevel="0" collapsed="false">
      <c r="A14" s="179" t="s">
        <v>7</v>
      </c>
      <c r="B14" s="179"/>
      <c r="C14" s="179"/>
      <c r="D14" s="179"/>
      <c r="E14" s="179"/>
      <c r="F14" s="179"/>
      <c r="G14" s="179"/>
      <c r="H14" s="179"/>
      <c r="I14" s="179"/>
    </row>
    <row r="15" customFormat="false" ht="15.75" hidden="false" customHeight="false" outlineLevel="0" collapsed="false">
      <c r="A15" s="10" t="s">
        <v>8</v>
      </c>
      <c r="B15" s="11" t="s">
        <v>9</v>
      </c>
      <c r="C15" s="11"/>
      <c r="D15" s="11"/>
      <c r="E15" s="11"/>
      <c r="F15" s="11"/>
      <c r="G15" s="11"/>
      <c r="H15" s="11"/>
      <c r="I15" s="307"/>
    </row>
    <row r="16" customFormat="false" ht="15.75" hidden="false" customHeight="false" outlineLevel="0" collapsed="false">
      <c r="A16" s="14" t="s">
        <v>10</v>
      </c>
      <c r="B16" s="15" t="s">
        <v>11</v>
      </c>
      <c r="C16" s="15"/>
      <c r="D16" s="15"/>
      <c r="E16" s="15"/>
      <c r="F16" s="15"/>
      <c r="G16" s="15"/>
      <c r="H16" s="15"/>
      <c r="I16" s="308" t="s">
        <v>290</v>
      </c>
    </row>
    <row r="17" customFormat="false" ht="47.25" hidden="false" customHeight="true" outlineLevel="0" collapsed="false">
      <c r="A17" s="17" t="s">
        <v>12</v>
      </c>
      <c r="B17" s="18" t="s">
        <v>13</v>
      </c>
      <c r="C17" s="18"/>
      <c r="D17" s="18"/>
      <c r="E17" s="18"/>
      <c r="F17" s="18"/>
      <c r="G17" s="18"/>
      <c r="H17" s="18"/>
      <c r="I17" s="37" t="s">
        <v>186</v>
      </c>
    </row>
    <row r="18" customFormat="false" ht="15.75" hidden="false" customHeight="false" outlineLevel="0" collapsed="false">
      <c r="A18" s="20" t="s">
        <v>14</v>
      </c>
      <c r="B18" s="21" t="s">
        <v>15</v>
      </c>
      <c r="C18" s="21"/>
      <c r="D18" s="21"/>
      <c r="E18" s="21"/>
      <c r="F18" s="21"/>
      <c r="G18" s="21"/>
      <c r="H18" s="21"/>
      <c r="I18" s="309" t="n">
        <v>12</v>
      </c>
    </row>
    <row r="19" customFormat="false" ht="15.75" hidden="false" customHeight="false" outlineLevel="0" collapsed="false">
      <c r="A19" s="179" t="s">
        <v>16</v>
      </c>
      <c r="B19" s="179"/>
      <c r="C19" s="179"/>
      <c r="D19" s="179"/>
      <c r="E19" s="179"/>
      <c r="F19" s="179"/>
      <c r="G19" s="179"/>
      <c r="H19" s="179"/>
      <c r="I19" s="179"/>
    </row>
    <row r="20" customFormat="false" ht="15.75" hidden="false" customHeight="false" outlineLevel="0" collapsed="false">
      <c r="A20" s="23" t="s">
        <v>17</v>
      </c>
      <c r="B20" s="23"/>
      <c r="C20" s="23"/>
      <c r="D20" s="23"/>
      <c r="E20" s="24" t="s">
        <v>18</v>
      </c>
      <c r="F20" s="24"/>
      <c r="G20" s="25" t="s">
        <v>19</v>
      </c>
      <c r="H20" s="25"/>
      <c r="I20" s="25"/>
    </row>
    <row r="21" customFormat="false" ht="15.75" hidden="false" customHeight="true" outlineLevel="0" collapsed="false">
      <c r="A21" s="26" t="s">
        <v>20</v>
      </c>
      <c r="B21" s="26"/>
      <c r="C21" s="26"/>
      <c r="D21" s="26"/>
      <c r="E21" s="27" t="s">
        <v>21</v>
      </c>
      <c r="F21" s="27"/>
      <c r="G21" s="28" t="n">
        <v>1</v>
      </c>
      <c r="H21" s="28"/>
      <c r="I21" s="28"/>
    </row>
    <row r="22" customFormat="false" ht="16.5" hidden="false" customHeight="true" outlineLevel="0" collapsed="false">
      <c r="A22" s="465" t="s">
        <v>246</v>
      </c>
      <c r="B22" s="465"/>
      <c r="C22" s="465"/>
      <c r="D22" s="465"/>
      <c r="E22" s="27"/>
      <c r="F22" s="27"/>
      <c r="G22" s="28"/>
      <c r="H22" s="28"/>
      <c r="I22" s="28"/>
      <c r="L22" s="30"/>
    </row>
    <row r="23" customFormat="false" ht="15.75" hidden="false" customHeight="false" outlineLevel="0" collapsed="false">
      <c r="A23" s="31"/>
      <c r="B23" s="269"/>
      <c r="C23" s="269"/>
      <c r="D23" s="269"/>
      <c r="E23" s="269"/>
      <c r="F23" s="269"/>
      <c r="G23" s="269"/>
      <c r="H23" s="269"/>
      <c r="I23" s="269"/>
    </row>
    <row r="24" customFormat="false" ht="15.75" hidden="false" customHeight="false" outlineLevel="0" collapsed="false">
      <c r="A24" s="33" t="s">
        <v>22</v>
      </c>
      <c r="B24" s="33"/>
      <c r="C24" s="33"/>
      <c r="D24" s="33"/>
      <c r="E24" s="33"/>
      <c r="F24" s="33"/>
      <c r="G24" s="33"/>
      <c r="H24" s="33"/>
      <c r="I24" s="33"/>
    </row>
    <row r="25" customFormat="false" ht="15.75" hidden="false" customHeight="false" outlineLevel="0" collapsed="false">
      <c r="A25" s="34" t="s">
        <v>23</v>
      </c>
      <c r="B25" s="34"/>
      <c r="C25" s="34"/>
      <c r="D25" s="34"/>
      <c r="E25" s="34"/>
      <c r="F25" s="34"/>
      <c r="G25" s="34"/>
      <c r="H25" s="34"/>
      <c r="I25" s="34"/>
    </row>
    <row r="26" customFormat="false" ht="15.75" hidden="false" customHeight="false" outlineLevel="0" collapsed="false">
      <c r="A26" s="35" t="s">
        <v>24</v>
      </c>
      <c r="B26" s="35"/>
      <c r="C26" s="35"/>
      <c r="D26" s="35"/>
      <c r="E26" s="35"/>
      <c r="F26" s="35"/>
      <c r="G26" s="35"/>
      <c r="H26" s="35"/>
      <c r="I26" s="35"/>
    </row>
    <row r="27" customFormat="false" ht="15.75" hidden="false" customHeight="true" outlineLevel="0" collapsed="false">
      <c r="A27" s="14" t="n">
        <v>1</v>
      </c>
      <c r="B27" s="36" t="s">
        <v>25</v>
      </c>
      <c r="C27" s="36"/>
      <c r="D27" s="36"/>
      <c r="E27" s="36"/>
      <c r="F27" s="36"/>
      <c r="G27" s="36"/>
      <c r="H27" s="36"/>
      <c r="I27" s="37" t="s">
        <v>26</v>
      </c>
    </row>
    <row r="28" customFormat="false" ht="15.75" hidden="false" customHeight="true" outlineLevel="0" collapsed="false">
      <c r="A28" s="14" t="n">
        <v>2</v>
      </c>
      <c r="B28" s="38" t="s">
        <v>27</v>
      </c>
      <c r="C28" s="38"/>
      <c r="D28" s="38"/>
      <c r="E28" s="38"/>
      <c r="F28" s="38"/>
      <c r="G28" s="38"/>
      <c r="H28" s="38"/>
      <c r="I28" s="308" t="n">
        <f aca="false">Dados!B2</f>
        <v>1305.17</v>
      </c>
    </row>
    <row r="29" customFormat="false" ht="15.75" hidden="false" customHeight="true" outlineLevel="0" collapsed="false">
      <c r="A29" s="14" t="n">
        <v>3</v>
      </c>
      <c r="B29" s="38" t="s">
        <v>28</v>
      </c>
      <c r="C29" s="38"/>
      <c r="D29" s="38"/>
      <c r="E29" s="38"/>
      <c r="F29" s="38"/>
      <c r="G29" s="38"/>
      <c r="H29" s="38"/>
      <c r="I29" s="308" t="s">
        <v>188</v>
      </c>
    </row>
    <row r="30" customFormat="false" ht="15.75" hidden="false" customHeight="true" outlineLevel="0" collapsed="false">
      <c r="A30" s="40" t="n">
        <v>4</v>
      </c>
      <c r="B30" s="41" t="s">
        <v>29</v>
      </c>
      <c r="C30" s="41"/>
      <c r="D30" s="41"/>
      <c r="E30" s="41"/>
      <c r="F30" s="41"/>
      <c r="G30" s="41"/>
      <c r="H30" s="41"/>
      <c r="I30" s="311" t="n">
        <v>42005</v>
      </c>
    </row>
    <row r="31" customFormat="false" ht="15.75" hidden="false" customHeight="true" outlineLevel="0" collapsed="false">
      <c r="A31" s="40" t="n">
        <v>5</v>
      </c>
      <c r="B31" s="38" t="s">
        <v>30</v>
      </c>
      <c r="C31" s="38"/>
      <c r="D31" s="38"/>
      <c r="E31" s="38"/>
      <c r="F31" s="38"/>
      <c r="G31" s="38"/>
      <c r="H31" s="38"/>
      <c r="I31" s="311" t="n">
        <f aca="false">I28/220</f>
        <v>5.93259090909091</v>
      </c>
    </row>
    <row r="32" customFormat="false" ht="15.75" hidden="false" customHeight="true" outlineLevel="0" collapsed="false">
      <c r="A32" s="40" t="n">
        <v>6</v>
      </c>
      <c r="B32" s="38" t="s">
        <v>31</v>
      </c>
      <c r="C32" s="38"/>
      <c r="D32" s="38"/>
      <c r="E32" s="38"/>
      <c r="F32" s="38"/>
      <c r="G32" s="38"/>
      <c r="H32" s="38"/>
      <c r="I32" s="311" t="n">
        <f aca="false">I31*1.5</f>
        <v>8.89888636363636</v>
      </c>
    </row>
    <row r="33" customFormat="false" ht="16.5" hidden="false" customHeight="true" outlineLevel="0" collapsed="false">
      <c r="A33" s="20" t="n">
        <v>7</v>
      </c>
      <c r="B33" s="44" t="s">
        <v>32</v>
      </c>
      <c r="C33" s="44"/>
      <c r="D33" s="44"/>
      <c r="E33" s="44"/>
      <c r="F33" s="44"/>
      <c r="G33" s="44"/>
      <c r="H33" s="44"/>
      <c r="I33" s="309" t="n">
        <f aca="false">I31*0.2</f>
        <v>1.18651818181818</v>
      </c>
    </row>
    <row r="34" customFormat="false" ht="15.75" hidden="false" customHeight="false" outlineLevel="0" collapsed="false">
      <c r="A34" s="271"/>
      <c r="B34" s="271"/>
      <c r="C34" s="271"/>
      <c r="D34" s="271"/>
      <c r="E34" s="271"/>
      <c r="F34" s="271"/>
      <c r="G34" s="271"/>
      <c r="H34" s="271"/>
      <c r="I34" s="271"/>
    </row>
    <row r="35" customFormat="false" ht="15.75" hidden="false" customHeight="false" outlineLevel="0" collapsed="false">
      <c r="A35" s="47" t="s">
        <v>33</v>
      </c>
      <c r="B35" s="47"/>
      <c r="C35" s="47"/>
      <c r="D35" s="47"/>
      <c r="E35" s="47"/>
      <c r="F35" s="47"/>
      <c r="G35" s="47"/>
      <c r="H35" s="47"/>
      <c r="I35" s="47"/>
    </row>
    <row r="36" customFormat="false" ht="15.75" hidden="false" customHeight="false" outlineLevel="0" collapsed="false">
      <c r="A36" s="48" t="n">
        <v>1</v>
      </c>
      <c r="B36" s="49" t="s">
        <v>34</v>
      </c>
      <c r="C36" s="49"/>
      <c r="D36" s="49"/>
      <c r="E36" s="49"/>
      <c r="F36" s="49"/>
      <c r="G36" s="49"/>
      <c r="H36" s="49"/>
      <c r="I36" s="204" t="s">
        <v>35</v>
      </c>
      <c r="L36" s="51"/>
    </row>
    <row r="37" customFormat="false" ht="15.75" hidden="false" customHeight="false" outlineLevel="0" collapsed="false">
      <c r="A37" s="17" t="s">
        <v>8</v>
      </c>
      <c r="B37" s="52" t="s">
        <v>189</v>
      </c>
      <c r="C37" s="52"/>
      <c r="D37" s="52"/>
      <c r="E37" s="52"/>
      <c r="F37" s="52"/>
      <c r="G37" s="52"/>
      <c r="H37" s="52"/>
      <c r="I37" s="207" t="n">
        <f aca="false">ROUND(I31*150*2,2)</f>
        <v>1779.78</v>
      </c>
      <c r="L37" s="51"/>
    </row>
    <row r="38" customFormat="false" ht="15.75" hidden="false" customHeight="false" outlineLevel="0" collapsed="false">
      <c r="A38" s="17" t="s">
        <v>10</v>
      </c>
      <c r="B38" s="74" t="s">
        <v>293</v>
      </c>
      <c r="C38" s="74"/>
      <c r="D38" s="74"/>
      <c r="E38" s="74"/>
      <c r="F38" s="74"/>
      <c r="G38" s="74"/>
      <c r="H38" s="74"/>
      <c r="I38" s="207" t="n">
        <f aca="false">ROUND(I32*21*2*(15/60),2)</f>
        <v>93.44</v>
      </c>
      <c r="L38" s="55"/>
    </row>
    <row r="39" customFormat="false" ht="18.75" hidden="false" customHeight="true" outlineLevel="0" collapsed="false">
      <c r="A39" s="17" t="s">
        <v>12</v>
      </c>
      <c r="B39" s="58" t="s">
        <v>43</v>
      </c>
      <c r="C39" s="58"/>
      <c r="D39" s="58"/>
      <c r="E39" s="58"/>
      <c r="F39" s="58"/>
      <c r="G39" s="58"/>
      <c r="H39" s="58"/>
      <c r="I39" s="207" t="n">
        <f aca="false">SUM(I38:I38)*0.2</f>
        <v>18.688</v>
      </c>
      <c r="K39" s="59"/>
    </row>
    <row r="40" customFormat="false" ht="15.75" hidden="false" customHeight="false" outlineLevel="0" collapsed="false">
      <c r="A40" s="60" t="s">
        <v>44</v>
      </c>
      <c r="B40" s="60"/>
      <c r="C40" s="60"/>
      <c r="D40" s="60"/>
      <c r="E40" s="60"/>
      <c r="F40" s="60"/>
      <c r="G40" s="60"/>
      <c r="H40" s="60"/>
      <c r="I40" s="210" t="n">
        <f aca="false">SUM(I37:I39)</f>
        <v>1891.908</v>
      </c>
    </row>
    <row r="41" customFormat="false" ht="15.75" hidden="false" customHeight="false" outlineLevel="0" collapsed="false">
      <c r="A41" s="47" t="s">
        <v>45</v>
      </c>
      <c r="B41" s="47"/>
      <c r="C41" s="47"/>
      <c r="D41" s="47"/>
      <c r="E41" s="47"/>
      <c r="F41" s="47"/>
      <c r="G41" s="47"/>
      <c r="H41" s="47"/>
      <c r="I41" s="47"/>
    </row>
    <row r="42" customFormat="false" ht="15.75" hidden="false" customHeight="false" outlineLevel="0" collapsed="false">
      <c r="A42" s="62" t="n">
        <v>2</v>
      </c>
      <c r="B42" s="63" t="s">
        <v>46</v>
      </c>
      <c r="C42" s="63"/>
      <c r="D42" s="63"/>
      <c r="E42" s="63"/>
      <c r="F42" s="63"/>
      <c r="G42" s="63"/>
      <c r="H42" s="63"/>
      <c r="I42" s="204" t="s">
        <v>35</v>
      </c>
    </row>
    <row r="43" customFormat="false" ht="15.75" hidden="false" customHeight="true" outlineLevel="0" collapsed="false">
      <c r="A43" s="64" t="s">
        <v>8</v>
      </c>
      <c r="B43" s="54" t="s">
        <v>206</v>
      </c>
      <c r="C43" s="54"/>
      <c r="D43" s="54"/>
      <c r="E43" s="54"/>
      <c r="F43" s="54"/>
      <c r="G43" s="54"/>
      <c r="H43" s="54"/>
      <c r="I43" s="312" t="n">
        <f aca="false">ROUND((2*H45*H44*21)-(0.06*I37),2)</f>
        <v>187.21</v>
      </c>
      <c r="L43" s="66"/>
    </row>
    <row r="44" customFormat="false" ht="28.5" hidden="false" customHeight="true" outlineLevel="0" collapsed="false">
      <c r="A44" s="64"/>
      <c r="B44" s="277" t="s">
        <v>294</v>
      </c>
      <c r="C44" s="277"/>
      <c r="D44" s="277"/>
      <c r="E44" s="277"/>
      <c r="F44" s="277"/>
      <c r="G44" s="277"/>
      <c r="H44" s="278" t="n">
        <f aca="false">Dados!B18</f>
        <v>3.5</v>
      </c>
      <c r="I44" s="312"/>
    </row>
    <row r="45" customFormat="false" ht="15.75" hidden="false" customHeight="false" outlineLevel="0" collapsed="false">
      <c r="A45" s="64"/>
      <c r="B45" s="69" t="s">
        <v>49</v>
      </c>
      <c r="C45" s="69"/>
      <c r="D45" s="69"/>
      <c r="E45" s="69"/>
      <c r="F45" s="69"/>
      <c r="G45" s="69"/>
      <c r="H45" s="70" t="n">
        <v>2</v>
      </c>
      <c r="I45" s="312"/>
    </row>
    <row r="46" customFormat="false" ht="15.75" hidden="false" customHeight="true" outlineLevel="0" collapsed="false">
      <c r="A46" s="64" t="s">
        <v>10</v>
      </c>
      <c r="B46" s="54" t="s">
        <v>50</v>
      </c>
      <c r="C46" s="54"/>
      <c r="D46" s="54"/>
      <c r="E46" s="54"/>
      <c r="F46" s="54"/>
      <c r="G46" s="54"/>
      <c r="H46" s="54"/>
      <c r="I46" s="312" t="n">
        <f aca="false">ROUND((2*21*H47)*(1-0.18),2)</f>
        <v>287.92</v>
      </c>
    </row>
    <row r="47" customFormat="false" ht="15.75" hidden="false" customHeight="false" outlineLevel="0" collapsed="false">
      <c r="A47" s="64"/>
      <c r="B47" s="69" t="s">
        <v>51</v>
      </c>
      <c r="C47" s="69"/>
      <c r="D47" s="69"/>
      <c r="E47" s="69"/>
      <c r="F47" s="69"/>
      <c r="G47" s="69"/>
      <c r="H47" s="280" t="n">
        <f aca="false">Dados!B4</f>
        <v>8.36</v>
      </c>
      <c r="I47" s="223"/>
    </row>
    <row r="48" customFormat="false" ht="28.5" hidden="false" customHeight="true" outlineLevel="0" collapsed="false">
      <c r="A48" s="17" t="s">
        <v>12</v>
      </c>
      <c r="B48" s="58" t="s">
        <v>194</v>
      </c>
      <c r="C48" s="58"/>
      <c r="D48" s="58"/>
      <c r="E48" s="58"/>
      <c r="F48" s="58"/>
      <c r="G48" s="58"/>
      <c r="H48" s="58"/>
      <c r="I48" s="312" t="n">
        <f aca="false">ROUND(Dados!B5*2,2)</f>
        <v>30.04</v>
      </c>
    </row>
    <row r="49" customFormat="false" ht="15.75" hidden="false" customHeight="false" outlineLevel="0" collapsed="false">
      <c r="A49" s="60" t="s">
        <v>53</v>
      </c>
      <c r="B49" s="60"/>
      <c r="C49" s="60"/>
      <c r="D49" s="60"/>
      <c r="E49" s="60"/>
      <c r="F49" s="60"/>
      <c r="G49" s="60"/>
      <c r="H49" s="60"/>
      <c r="I49" s="210" t="n">
        <f aca="false">SUM(I43:I48)</f>
        <v>505.17</v>
      </c>
    </row>
    <row r="50" customFormat="false" ht="15.75" hidden="false" customHeight="false" outlineLevel="0" collapsed="false">
      <c r="A50" s="73" t="s">
        <v>54</v>
      </c>
      <c r="B50" s="73"/>
      <c r="C50" s="73"/>
      <c r="D50" s="73"/>
      <c r="E50" s="73"/>
      <c r="F50" s="73"/>
      <c r="G50" s="73"/>
      <c r="H50" s="73"/>
      <c r="I50" s="73"/>
    </row>
    <row r="51" customFormat="false" ht="15.75" hidden="false" customHeight="false" outlineLevel="0" collapsed="false">
      <c r="A51" s="47" t="s">
        <v>55</v>
      </c>
      <c r="B51" s="47"/>
      <c r="C51" s="47"/>
      <c r="D51" s="47"/>
      <c r="E51" s="47"/>
      <c r="F51" s="47"/>
      <c r="G51" s="47"/>
      <c r="H51" s="47"/>
      <c r="I51" s="47"/>
    </row>
    <row r="52" customFormat="false" ht="15.75" hidden="false" customHeight="false" outlineLevel="0" collapsed="false">
      <c r="A52" s="62" t="n">
        <v>3</v>
      </c>
      <c r="B52" s="63" t="s">
        <v>56</v>
      </c>
      <c r="C52" s="63"/>
      <c r="D52" s="63"/>
      <c r="E52" s="63"/>
      <c r="F52" s="63"/>
      <c r="G52" s="63"/>
      <c r="H52" s="63"/>
      <c r="I52" s="204" t="s">
        <v>35</v>
      </c>
    </row>
    <row r="53" customFormat="false" ht="15.75" hidden="false" customHeight="false" outlineLevel="0" collapsed="false">
      <c r="A53" s="64" t="s">
        <v>8</v>
      </c>
      <c r="B53" s="74" t="s">
        <v>208</v>
      </c>
      <c r="C53" s="74"/>
      <c r="D53" s="74"/>
      <c r="E53" s="74"/>
      <c r="F53" s="74"/>
      <c r="G53" s="74"/>
      <c r="H53" s="74"/>
      <c r="I53" s="75" t="n">
        <f aca="false">Dados!D6*2</f>
        <v>137.67625</v>
      </c>
      <c r="J53" s="76"/>
      <c r="K53" s="77"/>
    </row>
    <row r="54" customFormat="false" ht="15.75" hidden="false" customHeight="false" outlineLevel="0" collapsed="false">
      <c r="A54" s="60" t="s">
        <v>58</v>
      </c>
      <c r="B54" s="60"/>
      <c r="C54" s="60"/>
      <c r="D54" s="60"/>
      <c r="E54" s="60"/>
      <c r="F54" s="60"/>
      <c r="G54" s="60"/>
      <c r="H54" s="60"/>
      <c r="I54" s="78" t="n">
        <f aca="false">SUM(I53:I53)</f>
        <v>137.67625</v>
      </c>
    </row>
    <row r="55" customFormat="false" ht="15.75" hidden="false" customHeight="false" outlineLevel="0" collapsed="false">
      <c r="A55" s="47" t="s">
        <v>59</v>
      </c>
      <c r="B55" s="47"/>
      <c r="C55" s="47"/>
      <c r="D55" s="47"/>
      <c r="E55" s="47"/>
      <c r="F55" s="47"/>
      <c r="G55" s="47"/>
      <c r="H55" s="47"/>
      <c r="I55" s="47"/>
    </row>
    <row r="56" customFormat="false" ht="15.75" hidden="false" customHeight="false" outlineLevel="0" collapsed="false">
      <c r="A56" s="79" t="s">
        <v>60</v>
      </c>
      <c r="B56" s="79"/>
      <c r="C56" s="79"/>
      <c r="D56" s="79"/>
      <c r="E56" s="79"/>
      <c r="F56" s="79"/>
      <c r="G56" s="79"/>
      <c r="H56" s="79"/>
      <c r="I56" s="79"/>
    </row>
    <row r="57" customFormat="false" ht="15.75" hidden="false" customHeight="false" outlineLevel="0" collapsed="false">
      <c r="A57" s="62" t="s">
        <v>61</v>
      </c>
      <c r="B57" s="80" t="s">
        <v>62</v>
      </c>
      <c r="C57" s="80"/>
      <c r="D57" s="80"/>
      <c r="E57" s="80"/>
      <c r="F57" s="80"/>
      <c r="G57" s="80"/>
      <c r="H57" s="81" t="s">
        <v>63</v>
      </c>
      <c r="I57" s="204" t="s">
        <v>35</v>
      </c>
    </row>
    <row r="58" customFormat="false" ht="15.75" hidden="false" customHeight="false" outlineLevel="0" collapsed="false">
      <c r="A58" s="82" t="s">
        <v>8</v>
      </c>
      <c r="B58" s="83" t="s">
        <v>64</v>
      </c>
      <c r="C58" s="83"/>
      <c r="D58" s="83"/>
      <c r="E58" s="83"/>
      <c r="F58" s="83"/>
      <c r="G58" s="83"/>
      <c r="H58" s="84" t="n">
        <v>0.2</v>
      </c>
      <c r="I58" s="207" t="n">
        <f aca="false">ROUND(($I$40-$I$38)*H58,2)</f>
        <v>359.69</v>
      </c>
      <c r="K58" s="66"/>
    </row>
    <row r="59" customFormat="false" ht="15.75" hidden="false" customHeight="false" outlineLevel="0" collapsed="false">
      <c r="A59" s="82" t="s">
        <v>10</v>
      </c>
      <c r="B59" s="83" t="s">
        <v>65</v>
      </c>
      <c r="C59" s="83"/>
      <c r="D59" s="83"/>
      <c r="E59" s="83"/>
      <c r="F59" s="83"/>
      <c r="G59" s="83"/>
      <c r="H59" s="85" t="n">
        <v>0.015</v>
      </c>
      <c r="I59" s="207" t="n">
        <f aca="false">ROUND(($I$40-$I$38)*H59,2)</f>
        <v>26.98</v>
      </c>
      <c r="K59" s="66"/>
    </row>
    <row r="60" customFormat="false" ht="15.75" hidden="false" customHeight="false" outlineLevel="0" collapsed="false">
      <c r="A60" s="82" t="s">
        <v>12</v>
      </c>
      <c r="B60" s="83" t="s">
        <v>66</v>
      </c>
      <c r="C60" s="83"/>
      <c r="D60" s="83"/>
      <c r="E60" s="83"/>
      <c r="F60" s="83"/>
      <c r="G60" s="83"/>
      <c r="H60" s="84" t="n">
        <v>0.01</v>
      </c>
      <c r="I60" s="207" t="n">
        <f aca="false">ROUND(($I$40-$I$38)*H60,2)</f>
        <v>17.98</v>
      </c>
      <c r="K60" s="66"/>
    </row>
    <row r="61" customFormat="false" ht="15.75" hidden="false" customHeight="false" outlineLevel="0" collapsed="false">
      <c r="A61" s="82" t="s">
        <v>14</v>
      </c>
      <c r="B61" s="83" t="s">
        <v>67</v>
      </c>
      <c r="C61" s="83"/>
      <c r="D61" s="83"/>
      <c r="E61" s="83"/>
      <c r="F61" s="83"/>
      <c r="G61" s="83"/>
      <c r="H61" s="86" t="n">
        <v>0.002</v>
      </c>
      <c r="I61" s="207" t="n">
        <f aca="false">ROUND(($I$40-$I$38)*H61,2)</f>
        <v>3.6</v>
      </c>
      <c r="K61" s="66"/>
    </row>
    <row r="62" customFormat="false" ht="15.75" hidden="false" customHeight="false" outlineLevel="0" collapsed="false">
      <c r="A62" s="82" t="s">
        <v>40</v>
      </c>
      <c r="B62" s="83" t="s">
        <v>68</v>
      </c>
      <c r="C62" s="83"/>
      <c r="D62" s="83"/>
      <c r="E62" s="83"/>
      <c r="F62" s="83"/>
      <c r="G62" s="83"/>
      <c r="H62" s="86" t="n">
        <v>0.025</v>
      </c>
      <c r="I62" s="207" t="n">
        <f aca="false">ROUND(($I$40-$I$38)*H62,2)</f>
        <v>44.96</v>
      </c>
      <c r="K62" s="66"/>
    </row>
    <row r="63" customFormat="false" ht="15.75" hidden="false" customHeight="false" outlineLevel="0" collapsed="false">
      <c r="A63" s="82" t="s">
        <v>42</v>
      </c>
      <c r="B63" s="83" t="s">
        <v>69</v>
      </c>
      <c r="C63" s="83"/>
      <c r="D63" s="83"/>
      <c r="E63" s="83"/>
      <c r="F63" s="83"/>
      <c r="G63" s="83"/>
      <c r="H63" s="84" t="n">
        <v>0.08</v>
      </c>
      <c r="I63" s="207" t="n">
        <f aca="false">ROUND(($I$40-$I$38)*H63,2)</f>
        <v>143.88</v>
      </c>
      <c r="K63" s="66"/>
    </row>
    <row r="64" customFormat="false" ht="15.75" hidden="false" customHeight="false" outlineLevel="0" collapsed="false">
      <c r="A64" s="82" t="s">
        <v>70</v>
      </c>
      <c r="B64" s="87" t="s">
        <v>71</v>
      </c>
      <c r="C64" s="87"/>
      <c r="D64" s="87"/>
      <c r="E64" s="87"/>
      <c r="F64" s="88" t="s">
        <v>72</v>
      </c>
      <c r="G64" s="89" t="s">
        <v>196</v>
      </c>
      <c r="H64" s="86" t="n">
        <v>0.015</v>
      </c>
      <c r="I64" s="207" t="n">
        <f aca="false">ROUND(($I$40-$I$38)*H64,2)</f>
        <v>26.98</v>
      </c>
      <c r="K64" s="66"/>
    </row>
    <row r="65" customFormat="false" ht="15.75" hidden="false" customHeight="false" outlineLevel="0" collapsed="false">
      <c r="A65" s="82" t="s">
        <v>74</v>
      </c>
      <c r="B65" s="83" t="s">
        <v>75</v>
      </c>
      <c r="C65" s="83"/>
      <c r="D65" s="83"/>
      <c r="E65" s="83"/>
      <c r="F65" s="83"/>
      <c r="G65" s="83"/>
      <c r="H65" s="86" t="n">
        <v>0.006</v>
      </c>
      <c r="I65" s="207" t="n">
        <f aca="false">ROUND(($I$40-$I$38)*H65,2)</f>
        <v>10.79</v>
      </c>
      <c r="K65" s="66"/>
    </row>
    <row r="66" customFormat="false" ht="15.75" hidden="false" customHeight="false" outlineLevel="0" collapsed="false">
      <c r="A66" s="90" t="s">
        <v>76</v>
      </c>
      <c r="B66" s="90"/>
      <c r="C66" s="90"/>
      <c r="D66" s="90"/>
      <c r="E66" s="90"/>
      <c r="F66" s="90"/>
      <c r="G66" s="90"/>
      <c r="H66" s="91" t="n">
        <f aca="false">SUM(H58:H65)</f>
        <v>0.353</v>
      </c>
      <c r="I66" s="219" t="n">
        <f aca="false">SUM(I58:I65)</f>
        <v>634.86</v>
      </c>
      <c r="K66" s="66"/>
    </row>
    <row r="67" customFormat="false" ht="15.75" hidden="false" customHeight="false" outlineLevel="0" collapsed="false">
      <c r="A67" s="93" t="s">
        <v>77</v>
      </c>
      <c r="B67" s="93"/>
      <c r="C67" s="93"/>
      <c r="D67" s="93"/>
      <c r="E67" s="93"/>
      <c r="F67" s="93"/>
      <c r="G67" s="93"/>
      <c r="H67" s="93"/>
      <c r="I67" s="93"/>
    </row>
    <row r="68" customFormat="false" ht="15.75" hidden="false" customHeight="false" outlineLevel="0" collapsed="false">
      <c r="A68" s="94" t="s">
        <v>78</v>
      </c>
      <c r="B68" s="94"/>
      <c r="C68" s="94"/>
      <c r="D68" s="94"/>
      <c r="E68" s="94"/>
      <c r="F68" s="94"/>
      <c r="G68" s="94"/>
      <c r="H68" s="94"/>
      <c r="I68" s="94"/>
    </row>
    <row r="69" customFormat="false" ht="15.75" hidden="false" customHeight="false" outlineLevel="0" collapsed="false">
      <c r="A69" s="79" t="s">
        <v>79</v>
      </c>
      <c r="B69" s="79"/>
      <c r="C69" s="79"/>
      <c r="D69" s="79"/>
      <c r="E69" s="79"/>
      <c r="F69" s="79"/>
      <c r="G69" s="79"/>
      <c r="H69" s="79"/>
      <c r="I69" s="79"/>
    </row>
    <row r="70" customFormat="false" ht="15.75" hidden="false" customHeight="false" outlineLevel="0" collapsed="false">
      <c r="A70" s="62" t="s">
        <v>80</v>
      </c>
      <c r="B70" s="81" t="s">
        <v>81</v>
      </c>
      <c r="C70" s="81"/>
      <c r="D70" s="81"/>
      <c r="E70" s="81"/>
      <c r="F70" s="81"/>
      <c r="G70" s="81"/>
      <c r="H70" s="81"/>
      <c r="I70" s="204" t="s">
        <v>35</v>
      </c>
    </row>
    <row r="71" customFormat="false" ht="30.75" hidden="false" customHeight="true" outlineLevel="0" collapsed="false">
      <c r="A71" s="17" t="s">
        <v>8</v>
      </c>
      <c r="B71" s="95" t="s">
        <v>82</v>
      </c>
      <c r="C71" s="95"/>
      <c r="D71" s="95"/>
      <c r="E71" s="95"/>
      <c r="F71" s="95"/>
      <c r="G71" s="95"/>
      <c r="H71" s="95"/>
      <c r="I71" s="220" t="n">
        <f aca="false">ROUND(I40/12,2)</f>
        <v>157.66</v>
      </c>
      <c r="K71" s="66"/>
    </row>
    <row r="72" customFormat="false" ht="15.75" hidden="false" customHeight="false" outlineLevel="0" collapsed="false">
      <c r="A72" s="97" t="s">
        <v>83</v>
      </c>
      <c r="B72" s="97"/>
      <c r="C72" s="97"/>
      <c r="D72" s="97"/>
      <c r="E72" s="97"/>
      <c r="F72" s="97"/>
      <c r="G72" s="97"/>
      <c r="H72" s="97"/>
      <c r="I72" s="207" t="n">
        <f aca="false">SUM(I71:I71)</f>
        <v>157.66</v>
      </c>
      <c r="K72" s="66"/>
    </row>
    <row r="73" customFormat="false" ht="15.75" hidden="false" customHeight="false" outlineLevel="0" collapsed="false">
      <c r="A73" s="17" t="s">
        <v>10</v>
      </c>
      <c r="B73" s="83" t="s">
        <v>84</v>
      </c>
      <c r="C73" s="83"/>
      <c r="D73" s="83"/>
      <c r="E73" s="83"/>
      <c r="F73" s="83"/>
      <c r="G73" s="83"/>
      <c r="H73" s="83"/>
      <c r="I73" s="207" t="n">
        <f aca="false">ROUND(I72*H66,2)</f>
        <v>55.65</v>
      </c>
      <c r="K73" s="66"/>
    </row>
    <row r="74" customFormat="false" ht="15.75" hidden="false" customHeight="false" outlineLevel="0" collapsed="false">
      <c r="A74" s="60" t="s">
        <v>76</v>
      </c>
      <c r="B74" s="60"/>
      <c r="C74" s="60"/>
      <c r="D74" s="60"/>
      <c r="E74" s="60"/>
      <c r="F74" s="60"/>
      <c r="G74" s="60"/>
      <c r="H74" s="60"/>
      <c r="I74" s="210" t="n">
        <f aca="false">SUM(I72:I73)</f>
        <v>213.31</v>
      </c>
      <c r="K74" s="66"/>
    </row>
    <row r="75" customFormat="false" ht="15.75" hidden="false" customHeight="false" outlineLevel="0" collapsed="false">
      <c r="A75" s="79" t="s">
        <v>85</v>
      </c>
      <c r="B75" s="79"/>
      <c r="C75" s="79"/>
      <c r="D75" s="79"/>
      <c r="E75" s="79"/>
      <c r="F75" s="79"/>
      <c r="G75" s="79"/>
      <c r="H75" s="79"/>
      <c r="I75" s="79"/>
    </row>
    <row r="76" customFormat="false" ht="15.75" hidden="false" customHeight="false" outlineLevel="0" collapsed="false">
      <c r="A76" s="62" t="s">
        <v>86</v>
      </c>
      <c r="B76" s="81" t="s">
        <v>87</v>
      </c>
      <c r="C76" s="81"/>
      <c r="D76" s="81"/>
      <c r="E76" s="81"/>
      <c r="F76" s="81"/>
      <c r="G76" s="81"/>
      <c r="H76" s="81"/>
      <c r="I76" s="204" t="s">
        <v>35</v>
      </c>
    </row>
    <row r="77" customFormat="false" ht="15.75" hidden="false" customHeight="false" outlineLevel="0" collapsed="false">
      <c r="A77" s="17" t="s">
        <v>8</v>
      </c>
      <c r="B77" s="52" t="s">
        <v>88</v>
      </c>
      <c r="C77" s="52"/>
      <c r="D77" s="52"/>
      <c r="E77" s="52"/>
      <c r="F77" s="52"/>
      <c r="G77" s="52"/>
      <c r="H77" s="52"/>
      <c r="I77" s="75" t="n">
        <f aca="false">ROUND((((I40+I40/3)*(4/12))/12)*0.02,2)</f>
        <v>1.4</v>
      </c>
    </row>
    <row r="78" customFormat="false" ht="15.75" hidden="false" customHeight="false" outlineLevel="0" collapsed="false">
      <c r="A78" s="17" t="s">
        <v>10</v>
      </c>
      <c r="B78" s="83" t="s">
        <v>89</v>
      </c>
      <c r="C78" s="83"/>
      <c r="D78" s="83"/>
      <c r="E78" s="83"/>
      <c r="F78" s="83"/>
      <c r="G78" s="83"/>
      <c r="H78" s="83"/>
      <c r="I78" s="75" t="n">
        <f aca="false">I77*H66</f>
        <v>0.4942</v>
      </c>
    </row>
    <row r="79" customFormat="false" ht="15.75" hidden="false" customHeight="false" outlineLevel="0" collapsed="false">
      <c r="A79" s="60" t="s">
        <v>76</v>
      </c>
      <c r="B79" s="60"/>
      <c r="C79" s="60"/>
      <c r="D79" s="60"/>
      <c r="E79" s="60"/>
      <c r="F79" s="60"/>
      <c r="G79" s="60"/>
      <c r="H79" s="60"/>
      <c r="I79" s="210" t="n">
        <f aca="false">SUM(I77:I78)</f>
        <v>1.8942</v>
      </c>
    </row>
    <row r="80" customFormat="false" ht="15.75" hidden="false" customHeight="false" outlineLevel="0" collapsed="false">
      <c r="A80" s="79" t="s">
        <v>90</v>
      </c>
      <c r="B80" s="79"/>
      <c r="C80" s="79"/>
      <c r="D80" s="79"/>
      <c r="E80" s="79"/>
      <c r="F80" s="79"/>
      <c r="G80" s="79"/>
      <c r="H80" s="79"/>
      <c r="I80" s="79"/>
    </row>
    <row r="81" customFormat="false" ht="15.75" hidden="false" customHeight="false" outlineLevel="0" collapsed="false">
      <c r="A81" s="62" t="s">
        <v>91</v>
      </c>
      <c r="B81" s="81" t="s">
        <v>92</v>
      </c>
      <c r="C81" s="81"/>
      <c r="D81" s="81"/>
      <c r="E81" s="81"/>
      <c r="F81" s="81"/>
      <c r="G81" s="81"/>
      <c r="H81" s="81"/>
      <c r="I81" s="204" t="s">
        <v>35</v>
      </c>
    </row>
    <row r="82" customFormat="false" ht="15.75" hidden="false" customHeight="true" outlineLevel="0" collapsed="false">
      <c r="A82" s="17" t="s">
        <v>8</v>
      </c>
      <c r="B82" s="99" t="s">
        <v>93</v>
      </c>
      <c r="C82" s="99"/>
      <c r="D82" s="99"/>
      <c r="E82" s="99"/>
      <c r="F82" s="99"/>
      <c r="G82" s="99"/>
      <c r="H82" s="99"/>
      <c r="I82" s="207" t="n">
        <f aca="false">ROUND((I40/12)*(30/30)*0.05,2)</f>
        <v>7.88</v>
      </c>
    </row>
    <row r="83" customFormat="false" ht="15.75" hidden="false" customHeight="true" outlineLevel="0" collapsed="false">
      <c r="A83" s="17" t="s">
        <v>10</v>
      </c>
      <c r="B83" s="83" t="s">
        <v>94</v>
      </c>
      <c r="C83" s="83"/>
      <c r="D83" s="83"/>
      <c r="E83" s="83"/>
      <c r="F83" s="83"/>
      <c r="G83" s="83"/>
      <c r="H83" s="83"/>
      <c r="I83" s="207" t="n">
        <f aca="false">ROUND(I82*H63,2)</f>
        <v>0.63</v>
      </c>
    </row>
    <row r="84" customFormat="false" ht="49.5" hidden="false" customHeight="true" outlineLevel="0" collapsed="false">
      <c r="A84" s="17" t="s">
        <v>12</v>
      </c>
      <c r="B84" s="95" t="s">
        <v>95</v>
      </c>
      <c r="C84" s="95"/>
      <c r="D84" s="95"/>
      <c r="E84" s="95"/>
      <c r="F84" s="95"/>
      <c r="G84" s="95"/>
      <c r="H84" s="95"/>
      <c r="I84" s="220" t="n">
        <f aca="false">ROUND(0.0024*I40,2)</f>
        <v>4.54</v>
      </c>
      <c r="K84" s="66"/>
    </row>
    <row r="85" customFormat="false" ht="30.75" hidden="false" customHeight="true" outlineLevel="0" collapsed="false">
      <c r="A85" s="100" t="s">
        <v>14</v>
      </c>
      <c r="B85" s="99" t="s">
        <v>96</v>
      </c>
      <c r="C85" s="99"/>
      <c r="D85" s="99"/>
      <c r="E85" s="99"/>
      <c r="F85" s="99"/>
      <c r="G85" s="99"/>
      <c r="H85" s="99"/>
      <c r="I85" s="273" t="n">
        <f aca="false">ROUND((((I40/2)/30)*7)/12,2)/2</f>
        <v>9.195</v>
      </c>
      <c r="N85" s="101"/>
    </row>
    <row r="86" customFormat="false" ht="18" hidden="false" customHeight="true" outlineLevel="0" collapsed="false">
      <c r="A86" s="17" t="s">
        <v>40</v>
      </c>
      <c r="B86" s="83" t="s">
        <v>97</v>
      </c>
      <c r="C86" s="83"/>
      <c r="D86" s="83"/>
      <c r="E86" s="83"/>
      <c r="F86" s="83"/>
      <c r="G86" s="83"/>
      <c r="H86" s="83"/>
      <c r="I86" s="207" t="n">
        <f aca="false">ROUND(I85*H66,2)</f>
        <v>3.25</v>
      </c>
      <c r="J86" s="13"/>
      <c r="K86" s="13"/>
      <c r="L86" s="102"/>
    </row>
    <row r="87" customFormat="false" ht="48.75" hidden="false" customHeight="true" outlineLevel="0" collapsed="false">
      <c r="A87" s="17" t="s">
        <v>42</v>
      </c>
      <c r="B87" s="95" t="s">
        <v>98</v>
      </c>
      <c r="C87" s="95"/>
      <c r="D87" s="95"/>
      <c r="E87" s="95"/>
      <c r="F87" s="95"/>
      <c r="G87" s="95"/>
      <c r="H87" s="95"/>
      <c r="I87" s="220" t="n">
        <f aca="false">ROUND(0.0476*I40,2)</f>
        <v>90.05</v>
      </c>
      <c r="J87" s="13"/>
      <c r="K87" s="66"/>
      <c r="L87" s="13"/>
    </row>
    <row r="88" customFormat="false" ht="20.25" hidden="false" customHeight="true" outlineLevel="0" collapsed="false">
      <c r="A88" s="60" t="s">
        <v>76</v>
      </c>
      <c r="B88" s="60"/>
      <c r="C88" s="60"/>
      <c r="D88" s="60"/>
      <c r="E88" s="60"/>
      <c r="F88" s="60"/>
      <c r="G88" s="60"/>
      <c r="H88" s="60"/>
      <c r="I88" s="210" t="n">
        <f aca="false">SUM(I82:I87)</f>
        <v>115.545</v>
      </c>
    </row>
    <row r="89" customFormat="false" ht="20.25" hidden="false" customHeight="true" outlineLevel="0" collapsed="false">
      <c r="A89" s="79" t="s">
        <v>99</v>
      </c>
      <c r="B89" s="79"/>
      <c r="C89" s="79"/>
      <c r="D89" s="79"/>
      <c r="E89" s="79"/>
      <c r="F89" s="79"/>
      <c r="G89" s="79"/>
      <c r="H89" s="79"/>
      <c r="I89" s="79"/>
    </row>
    <row r="90" customFormat="false" ht="15.75" hidden="false" customHeight="false" outlineLevel="0" collapsed="false">
      <c r="A90" s="62" t="s">
        <v>100</v>
      </c>
      <c r="B90" s="81" t="s">
        <v>101</v>
      </c>
      <c r="C90" s="81"/>
      <c r="D90" s="81"/>
      <c r="E90" s="81"/>
      <c r="F90" s="81"/>
      <c r="G90" s="81"/>
      <c r="H90" s="81"/>
      <c r="I90" s="204" t="s">
        <v>35</v>
      </c>
    </row>
    <row r="91" customFormat="false" ht="49.5" hidden="false" customHeight="true" outlineLevel="0" collapsed="false">
      <c r="A91" s="17" t="s">
        <v>8</v>
      </c>
      <c r="B91" s="95" t="s">
        <v>102</v>
      </c>
      <c r="C91" s="95"/>
      <c r="D91" s="95"/>
      <c r="E91" s="95"/>
      <c r="F91" s="95"/>
      <c r="G91" s="95"/>
      <c r="H91" s="95"/>
      <c r="I91" s="220" t="n">
        <f aca="false">ROUND(0.121*I40,2)</f>
        <v>228.92</v>
      </c>
      <c r="K91" s="66"/>
    </row>
    <row r="92" customFormat="false" ht="17.25" hidden="false" customHeight="true" outlineLevel="0" collapsed="false">
      <c r="A92" s="17" t="s">
        <v>10</v>
      </c>
      <c r="B92" s="52" t="s">
        <v>103</v>
      </c>
      <c r="C92" s="52"/>
      <c r="D92" s="52"/>
      <c r="E92" s="52"/>
      <c r="F92" s="52"/>
      <c r="G92" s="52"/>
      <c r="H92" s="52"/>
      <c r="I92" s="207" t="n">
        <f aca="false">ROUND(((I40/30)*5)/12,2)</f>
        <v>26.28</v>
      </c>
    </row>
    <row r="93" customFormat="false" ht="16.5" hidden="false" customHeight="true" outlineLevel="0" collapsed="false">
      <c r="A93" s="17" t="s">
        <v>12</v>
      </c>
      <c r="B93" s="52" t="s">
        <v>104</v>
      </c>
      <c r="C93" s="52"/>
      <c r="D93" s="52"/>
      <c r="E93" s="52"/>
      <c r="F93" s="52"/>
      <c r="G93" s="52"/>
      <c r="H93" s="52"/>
      <c r="I93" s="207" t="n">
        <f aca="false">ROUND((((I40/30)*5)/12)*0.015,2)</f>
        <v>0.39</v>
      </c>
    </row>
    <row r="94" customFormat="false" ht="17.25" hidden="false" customHeight="true" outlineLevel="0" collapsed="false">
      <c r="A94" s="17" t="s">
        <v>14</v>
      </c>
      <c r="B94" s="52" t="s">
        <v>105</v>
      </c>
      <c r="C94" s="52"/>
      <c r="D94" s="52"/>
      <c r="E94" s="52"/>
      <c r="F94" s="52"/>
      <c r="G94" s="52"/>
      <c r="H94" s="52"/>
      <c r="I94" s="207" t="n">
        <f aca="false">ROUND(((I40/30)*2.96)/12,2)</f>
        <v>15.56</v>
      </c>
    </row>
    <row r="95" customFormat="false" ht="16.5" hidden="false" customHeight="true" outlineLevel="0" collapsed="false">
      <c r="A95" s="17" t="s">
        <v>40</v>
      </c>
      <c r="B95" s="52" t="s">
        <v>106</v>
      </c>
      <c r="C95" s="52"/>
      <c r="D95" s="52"/>
      <c r="E95" s="52"/>
      <c r="F95" s="52"/>
      <c r="G95" s="52"/>
      <c r="H95" s="52"/>
      <c r="I95" s="207" t="n">
        <f aca="false">ROUND((((I40/30)*15)/12)*0.0078,2)</f>
        <v>0.61</v>
      </c>
    </row>
    <row r="96" customFormat="false" ht="15.75" hidden="false" customHeight="false" outlineLevel="0" collapsed="false">
      <c r="A96" s="97" t="s">
        <v>83</v>
      </c>
      <c r="B96" s="97"/>
      <c r="C96" s="97"/>
      <c r="D96" s="97"/>
      <c r="E96" s="97"/>
      <c r="F96" s="97"/>
      <c r="G96" s="97"/>
      <c r="H96" s="97"/>
      <c r="I96" s="223" t="n">
        <f aca="false">SUM(I91:I95)</f>
        <v>271.76</v>
      </c>
      <c r="K96" s="66"/>
    </row>
    <row r="97" customFormat="false" ht="18" hidden="false" customHeight="true" outlineLevel="0" collapsed="false">
      <c r="A97" s="17" t="s">
        <v>70</v>
      </c>
      <c r="B97" s="83" t="s">
        <v>107</v>
      </c>
      <c r="C97" s="83"/>
      <c r="D97" s="83"/>
      <c r="E97" s="83"/>
      <c r="F97" s="83"/>
      <c r="G97" s="83"/>
      <c r="H97" s="83"/>
      <c r="I97" s="224" t="n">
        <f aca="false">ROUND(I96*H66,2)</f>
        <v>95.93</v>
      </c>
      <c r="K97" s="66"/>
    </row>
    <row r="98" customFormat="false" ht="18.75" hidden="false" customHeight="true" outlineLevel="0" collapsed="false">
      <c r="A98" s="60" t="s">
        <v>76</v>
      </c>
      <c r="B98" s="60"/>
      <c r="C98" s="60"/>
      <c r="D98" s="60"/>
      <c r="E98" s="60"/>
      <c r="F98" s="60"/>
      <c r="G98" s="60"/>
      <c r="H98" s="60"/>
      <c r="I98" s="210" t="n">
        <f aca="false">SUM(I96+I97)</f>
        <v>367.69</v>
      </c>
      <c r="K98" s="66"/>
    </row>
    <row r="99" customFormat="false" ht="15.75" hidden="false" customHeight="false" outlineLevel="0" collapsed="false">
      <c r="A99" s="104" t="s">
        <v>108</v>
      </c>
      <c r="B99" s="104"/>
      <c r="C99" s="104"/>
      <c r="D99" s="104"/>
      <c r="E99" s="104"/>
      <c r="F99" s="104"/>
      <c r="G99" s="104"/>
      <c r="H99" s="104"/>
      <c r="I99" s="104"/>
    </row>
    <row r="100" customFormat="false" ht="15.75" hidden="false" customHeight="false" outlineLevel="0" collapsed="false">
      <c r="A100" s="62" t="n">
        <v>4</v>
      </c>
      <c r="B100" s="81" t="s">
        <v>109</v>
      </c>
      <c r="C100" s="81"/>
      <c r="D100" s="81"/>
      <c r="E100" s="81"/>
      <c r="F100" s="81"/>
      <c r="G100" s="81"/>
      <c r="H100" s="81"/>
      <c r="I100" s="204" t="s">
        <v>35</v>
      </c>
    </row>
    <row r="101" customFormat="false" ht="15.75" hidden="false" customHeight="false" outlineLevel="0" collapsed="false">
      <c r="A101" s="17" t="s">
        <v>61</v>
      </c>
      <c r="B101" s="83" t="s">
        <v>62</v>
      </c>
      <c r="C101" s="83"/>
      <c r="D101" s="83"/>
      <c r="E101" s="83"/>
      <c r="F101" s="83"/>
      <c r="G101" s="83"/>
      <c r="H101" s="83"/>
      <c r="I101" s="75" t="n">
        <f aca="false">I66</f>
        <v>634.86</v>
      </c>
    </row>
    <row r="102" customFormat="false" ht="15.75" hidden="false" customHeight="false" outlineLevel="0" collapsed="false">
      <c r="A102" s="17" t="s">
        <v>80</v>
      </c>
      <c r="B102" s="83" t="s">
        <v>110</v>
      </c>
      <c r="C102" s="83"/>
      <c r="D102" s="83"/>
      <c r="E102" s="83"/>
      <c r="F102" s="83"/>
      <c r="G102" s="83"/>
      <c r="H102" s="83"/>
      <c r="I102" s="75" t="n">
        <f aca="false">I74</f>
        <v>213.31</v>
      </c>
    </row>
    <row r="103" customFormat="false" ht="15.75" hidden="false" customHeight="false" outlineLevel="0" collapsed="false">
      <c r="A103" s="17" t="s">
        <v>86</v>
      </c>
      <c r="B103" s="83" t="s">
        <v>87</v>
      </c>
      <c r="C103" s="83"/>
      <c r="D103" s="83"/>
      <c r="E103" s="83"/>
      <c r="F103" s="83"/>
      <c r="G103" s="83"/>
      <c r="H103" s="83"/>
      <c r="I103" s="75" t="n">
        <f aca="false">I79</f>
        <v>1.8942</v>
      </c>
    </row>
    <row r="104" customFormat="false" ht="15.75" hidden="false" customHeight="false" outlineLevel="0" collapsed="false">
      <c r="A104" s="17" t="s">
        <v>91</v>
      </c>
      <c r="B104" s="83" t="s">
        <v>111</v>
      </c>
      <c r="C104" s="83"/>
      <c r="D104" s="83"/>
      <c r="E104" s="83"/>
      <c r="F104" s="83"/>
      <c r="G104" s="83"/>
      <c r="H104" s="83"/>
      <c r="I104" s="75" t="n">
        <f aca="false">I88</f>
        <v>115.545</v>
      </c>
    </row>
    <row r="105" customFormat="false" ht="15.75" hidden="false" customHeight="false" outlineLevel="0" collapsed="false">
      <c r="A105" s="17" t="s">
        <v>100</v>
      </c>
      <c r="B105" s="83" t="s">
        <v>112</v>
      </c>
      <c r="C105" s="83"/>
      <c r="D105" s="83"/>
      <c r="E105" s="83"/>
      <c r="F105" s="83"/>
      <c r="G105" s="83"/>
      <c r="H105" s="83"/>
      <c r="I105" s="75" t="n">
        <f aca="false">I98</f>
        <v>367.69</v>
      </c>
    </row>
    <row r="106" customFormat="false" ht="15.75" hidden="false" customHeight="false" outlineLevel="0" collapsed="false">
      <c r="A106" s="60" t="s">
        <v>76</v>
      </c>
      <c r="B106" s="60"/>
      <c r="C106" s="60"/>
      <c r="D106" s="60"/>
      <c r="E106" s="60"/>
      <c r="F106" s="60"/>
      <c r="G106" s="60"/>
      <c r="H106" s="60"/>
      <c r="I106" s="210" t="n">
        <f aca="false">SUM(I101:I105)</f>
        <v>1333.2992</v>
      </c>
      <c r="K106" s="106"/>
    </row>
    <row r="107" customFormat="false" ht="16.5" hidden="false" customHeight="true" outlineLevel="0" collapsed="false">
      <c r="A107" s="107" t="s">
        <v>113</v>
      </c>
      <c r="B107" s="107"/>
      <c r="C107" s="107"/>
      <c r="D107" s="107"/>
      <c r="E107" s="107"/>
      <c r="F107" s="107"/>
      <c r="G107" s="107"/>
      <c r="H107" s="107"/>
      <c r="I107" s="107"/>
    </row>
    <row r="108" customFormat="false" ht="15.75" hidden="false" customHeight="false" outlineLevel="0" collapsed="false">
      <c r="A108" s="62" t="n">
        <v>5</v>
      </c>
      <c r="B108" s="63" t="s">
        <v>114</v>
      </c>
      <c r="C108" s="63"/>
      <c r="D108" s="63"/>
      <c r="E108" s="63"/>
      <c r="F108" s="63"/>
      <c r="G108" s="63"/>
      <c r="H108" s="108" t="s">
        <v>63</v>
      </c>
      <c r="I108" s="204" t="s">
        <v>35</v>
      </c>
    </row>
    <row r="109" customFormat="false" ht="45.75" hidden="false" customHeight="true" outlineLevel="0" collapsed="false">
      <c r="A109" s="109" t="s">
        <v>115</v>
      </c>
      <c r="B109" s="109"/>
      <c r="C109" s="109"/>
      <c r="D109" s="109"/>
      <c r="E109" s="109"/>
      <c r="F109" s="109"/>
      <c r="G109" s="109"/>
      <c r="H109" s="110" t="n">
        <v>0</v>
      </c>
      <c r="I109" s="226" t="n">
        <f aca="false">(I40+I49+I54+I106)</f>
        <v>3868.05345</v>
      </c>
    </row>
    <row r="110" customFormat="false" ht="15.75" hidden="false" customHeight="false" outlineLevel="0" collapsed="false">
      <c r="A110" s="17" t="s">
        <v>8</v>
      </c>
      <c r="B110" s="83" t="s">
        <v>116</v>
      </c>
      <c r="C110" s="83"/>
      <c r="D110" s="83"/>
      <c r="E110" s="83"/>
      <c r="F110" s="83"/>
      <c r="G110" s="83"/>
      <c r="H110" s="112" t="n">
        <f aca="false">'São Borja 8.1'!H112</f>
        <v>0.1207</v>
      </c>
      <c r="I110" s="207" t="n">
        <f aca="false">ROUND(I109*H110,2)</f>
        <v>466.87</v>
      </c>
      <c r="J110" s="113"/>
    </row>
    <row r="111" customFormat="false" ht="43.5" hidden="false" customHeight="true" outlineLevel="0" collapsed="false">
      <c r="A111" s="109" t="s">
        <v>117</v>
      </c>
      <c r="B111" s="109"/>
      <c r="C111" s="109"/>
      <c r="D111" s="109"/>
      <c r="E111" s="109"/>
      <c r="F111" s="109"/>
      <c r="G111" s="109"/>
      <c r="H111" s="114" t="n">
        <v>0</v>
      </c>
      <c r="I111" s="228" t="n">
        <f aca="false">I109+I110</f>
        <v>4334.92345</v>
      </c>
      <c r="J111" s="113"/>
    </row>
    <row r="112" customFormat="false" ht="15.75" hidden="false" customHeight="false" outlineLevel="0" collapsed="false">
      <c r="A112" s="17" t="s">
        <v>10</v>
      </c>
      <c r="B112" s="83" t="s">
        <v>118</v>
      </c>
      <c r="C112" s="83"/>
      <c r="D112" s="83"/>
      <c r="E112" s="83"/>
      <c r="F112" s="83"/>
      <c r="G112" s="83"/>
      <c r="H112" s="112" t="n">
        <f aca="false">'São Borja 8.1'!H114</f>
        <v>0.0818</v>
      </c>
      <c r="I112" s="207" t="n">
        <f aca="false">ROUND(I111*H112,2)</f>
        <v>354.6</v>
      </c>
      <c r="J112" s="116"/>
    </row>
    <row r="113" customFormat="false" ht="46.5" hidden="false" customHeight="true" outlineLevel="0" collapsed="false">
      <c r="A113" s="109" t="s">
        <v>119</v>
      </c>
      <c r="B113" s="109"/>
      <c r="C113" s="109"/>
      <c r="D113" s="109"/>
      <c r="E113" s="109"/>
      <c r="F113" s="109"/>
      <c r="G113" s="109"/>
      <c r="H113" s="117" t="n">
        <v>0</v>
      </c>
      <c r="I113" s="231" t="n">
        <f aca="false">I111+I112</f>
        <v>4689.52345</v>
      </c>
      <c r="J113" s="116"/>
    </row>
    <row r="114" customFormat="false" ht="15.75" hidden="false" customHeight="false" outlineLevel="0" collapsed="false">
      <c r="A114" s="17" t="s">
        <v>12</v>
      </c>
      <c r="B114" s="83" t="s">
        <v>120</v>
      </c>
      <c r="C114" s="83"/>
      <c r="D114" s="83"/>
      <c r="E114" s="83"/>
      <c r="F114" s="83"/>
      <c r="G114" s="83"/>
      <c r="H114" s="119" t="s">
        <v>198</v>
      </c>
      <c r="I114" s="232" t="s">
        <v>198</v>
      </c>
      <c r="J114" s="116"/>
    </row>
    <row r="115" customFormat="false" ht="15.75" hidden="false" customHeight="false" outlineLevel="0" collapsed="false">
      <c r="A115" s="17"/>
      <c r="B115" s="83" t="s">
        <v>121</v>
      </c>
      <c r="C115" s="83"/>
      <c r="D115" s="83"/>
      <c r="E115" s="83"/>
      <c r="F115" s="83"/>
      <c r="G115" s="83"/>
      <c r="H115" s="119" t="s">
        <v>198</v>
      </c>
      <c r="I115" s="232" t="s">
        <v>198</v>
      </c>
    </row>
    <row r="116" customFormat="false" ht="30" hidden="false" customHeight="true" outlineLevel="0" collapsed="false">
      <c r="A116" s="17"/>
      <c r="B116" s="67" t="s">
        <v>199</v>
      </c>
      <c r="C116" s="67"/>
      <c r="D116" s="67"/>
      <c r="E116" s="67"/>
      <c r="F116" s="67"/>
      <c r="G116" s="67"/>
      <c r="H116" s="121" t="n">
        <v>0.03</v>
      </c>
      <c r="I116" s="207" t="n">
        <f aca="false">ROUND(($I$113/(1-H123))*H116,2)</f>
        <v>154.01</v>
      </c>
    </row>
    <row r="117" customFormat="false" ht="27.75" hidden="false" customHeight="true" outlineLevel="0" collapsed="false">
      <c r="A117" s="17"/>
      <c r="B117" s="67" t="s">
        <v>200</v>
      </c>
      <c r="C117" s="67"/>
      <c r="D117" s="67"/>
      <c r="E117" s="67"/>
      <c r="F117" s="67"/>
      <c r="G117" s="67"/>
      <c r="H117" s="121" t="n">
        <v>0.0065</v>
      </c>
      <c r="I117" s="207" t="n">
        <f aca="false">ROUND(($I$113/(1-H123))*H117,2)</f>
        <v>33.37</v>
      </c>
      <c r="K117" s="66"/>
    </row>
    <row r="118" customFormat="false" ht="29.25" hidden="false" customHeight="true" outlineLevel="0" collapsed="false">
      <c r="A118" s="17"/>
      <c r="B118" s="122" t="s">
        <v>124</v>
      </c>
      <c r="C118" s="122"/>
      <c r="D118" s="122"/>
      <c r="E118" s="122"/>
      <c r="F118" s="122"/>
      <c r="G118" s="122"/>
      <c r="H118" s="121" t="s">
        <v>198</v>
      </c>
      <c r="I118" s="232" t="s">
        <v>198</v>
      </c>
      <c r="K118" s="66"/>
    </row>
    <row r="119" customFormat="false" ht="15.75" hidden="false" customHeight="false" outlineLevel="0" collapsed="false">
      <c r="A119" s="17"/>
      <c r="B119" s="83" t="s">
        <v>125</v>
      </c>
      <c r="C119" s="83"/>
      <c r="D119" s="83"/>
      <c r="E119" s="83"/>
      <c r="F119" s="83"/>
      <c r="G119" s="83"/>
      <c r="H119" s="119" t="s">
        <v>198</v>
      </c>
      <c r="I119" s="232" t="s">
        <v>198</v>
      </c>
    </row>
    <row r="120" customFormat="false" ht="15.75" hidden="false" customHeight="false" outlineLevel="0" collapsed="false">
      <c r="A120" s="17"/>
      <c r="B120" s="83" t="s">
        <v>126</v>
      </c>
      <c r="C120" s="83"/>
      <c r="D120" s="83"/>
      <c r="E120" s="83"/>
      <c r="F120" s="83"/>
      <c r="G120" s="83"/>
      <c r="H120" s="119" t="s">
        <v>198</v>
      </c>
      <c r="I120" s="232" t="s">
        <v>198</v>
      </c>
      <c r="K120" s="66"/>
    </row>
    <row r="121" customFormat="false" ht="15.75" hidden="false" customHeight="false" outlineLevel="0" collapsed="false">
      <c r="A121" s="17"/>
      <c r="B121" s="74" t="s">
        <v>295</v>
      </c>
      <c r="C121" s="74"/>
      <c r="D121" s="74"/>
      <c r="E121" s="74"/>
      <c r="F121" s="74"/>
      <c r="G121" s="74"/>
      <c r="H121" s="124" t="n">
        <v>0.05</v>
      </c>
      <c r="I121" s="207" t="n">
        <f aca="false">ROUND(($I$113/(1-H123))*H121,2)</f>
        <v>256.68</v>
      </c>
    </row>
    <row r="122" customFormat="false" ht="15.75" hidden="false" customHeight="false" outlineLevel="0" collapsed="false">
      <c r="A122" s="125" t="s">
        <v>76</v>
      </c>
      <c r="B122" s="125"/>
      <c r="C122" s="125"/>
      <c r="D122" s="125"/>
      <c r="E122" s="125"/>
      <c r="F122" s="125"/>
      <c r="G122" s="125"/>
      <c r="H122" s="125"/>
      <c r="I122" s="234" t="n">
        <f aca="false">I110+I112+I116+I117+I121</f>
        <v>1265.53</v>
      </c>
    </row>
    <row r="123" customFormat="false" ht="15.75" hidden="false" customHeight="false" outlineLevel="0" collapsed="false">
      <c r="A123" s="127" t="s">
        <v>128</v>
      </c>
      <c r="B123" s="127"/>
      <c r="C123" s="127"/>
      <c r="D123" s="127"/>
      <c r="E123" s="127"/>
      <c r="F123" s="127"/>
      <c r="G123" s="127"/>
      <c r="H123" s="128" t="n">
        <f aca="false">SUM(H116:H121)</f>
        <v>0.0865</v>
      </c>
      <c r="I123" s="235" t="n">
        <f aca="false">SUM(I116+I117+I121)</f>
        <v>444.06</v>
      </c>
    </row>
    <row r="124" customFormat="false" ht="15.75" hidden="false" customHeight="false" outlineLevel="0" collapsed="false">
      <c r="A124" s="130" t="s">
        <v>129</v>
      </c>
      <c r="B124" s="130"/>
      <c r="C124" s="293" t="s">
        <v>130</v>
      </c>
      <c r="D124" s="293"/>
      <c r="E124" s="293"/>
      <c r="F124" s="293"/>
      <c r="G124" s="293"/>
      <c r="H124" s="293"/>
      <c r="I124" s="293"/>
    </row>
    <row r="125" customFormat="false" ht="15" hidden="false" customHeight="false" outlineLevel="0" collapsed="false">
      <c r="A125" s="130"/>
      <c r="B125" s="130"/>
      <c r="C125" s="294" t="s">
        <v>131</v>
      </c>
      <c r="D125" s="294"/>
      <c r="E125" s="294"/>
      <c r="F125" s="294"/>
      <c r="G125" s="294"/>
      <c r="H125" s="294"/>
      <c r="I125" s="294"/>
    </row>
    <row r="126" customFormat="false" ht="15.75" hidden="false" customHeight="false" outlineLevel="0" collapsed="false">
      <c r="A126" s="133" t="s">
        <v>132</v>
      </c>
      <c r="B126" s="133"/>
      <c r="C126" s="133"/>
      <c r="D126" s="133"/>
      <c r="E126" s="133"/>
      <c r="F126" s="133"/>
      <c r="G126" s="133"/>
      <c r="H126" s="133"/>
      <c r="I126" s="133"/>
    </row>
    <row r="127" customFormat="false" ht="15.75" hidden="false" customHeight="false" outlineLevel="0" collapsed="false">
      <c r="A127" s="94" t="s">
        <v>133</v>
      </c>
      <c r="B127" s="94"/>
      <c r="C127" s="94"/>
      <c r="D127" s="94"/>
      <c r="E127" s="94"/>
      <c r="F127" s="94"/>
      <c r="G127" s="94"/>
      <c r="H127" s="94"/>
      <c r="I127" s="94"/>
    </row>
    <row r="128" customFormat="false" ht="15.75" hidden="false" customHeight="false" outlineLevel="0" collapsed="false">
      <c r="A128" s="295"/>
      <c r="B128" s="295"/>
      <c r="C128" s="295"/>
      <c r="D128" s="295"/>
      <c r="E128" s="295"/>
      <c r="F128" s="295"/>
      <c r="G128" s="295"/>
      <c r="H128" s="295"/>
      <c r="I128" s="295"/>
    </row>
    <row r="129" customFormat="false" ht="15.75" hidden="false" customHeight="false" outlineLevel="0" collapsed="false">
      <c r="A129" s="33" t="s">
        <v>134</v>
      </c>
      <c r="B129" s="33"/>
      <c r="C129" s="33"/>
      <c r="D129" s="33"/>
      <c r="E129" s="33"/>
      <c r="F129" s="33"/>
      <c r="G129" s="33"/>
      <c r="H129" s="33"/>
      <c r="I129" s="33"/>
    </row>
    <row r="130" customFormat="false" ht="15.75" hidden="false" customHeight="false" outlineLevel="0" collapsed="false">
      <c r="A130" s="135" t="s">
        <v>135</v>
      </c>
      <c r="B130" s="135"/>
      <c r="C130" s="135"/>
      <c r="D130" s="135"/>
      <c r="E130" s="135"/>
      <c r="F130" s="135"/>
      <c r="G130" s="135"/>
      <c r="H130" s="135"/>
      <c r="I130" s="135"/>
    </row>
    <row r="131" customFormat="false" ht="15.75" hidden="false" customHeight="false" outlineLevel="0" collapsed="false">
      <c r="A131" s="136" t="s">
        <v>136</v>
      </c>
      <c r="B131" s="136"/>
      <c r="C131" s="136"/>
      <c r="D131" s="136"/>
      <c r="E131" s="136"/>
      <c r="F131" s="136"/>
      <c r="G131" s="136"/>
      <c r="H131" s="136"/>
      <c r="I131" s="313" t="s">
        <v>35</v>
      </c>
    </row>
    <row r="132" customFormat="false" ht="15.75" hidden="false" customHeight="false" outlineLevel="0" collapsed="false">
      <c r="A132" s="14" t="s">
        <v>8</v>
      </c>
      <c r="B132" s="15" t="s">
        <v>137</v>
      </c>
      <c r="C132" s="15"/>
      <c r="D132" s="15"/>
      <c r="E132" s="15"/>
      <c r="F132" s="15"/>
      <c r="G132" s="15"/>
      <c r="H132" s="15"/>
      <c r="I132" s="314" t="n">
        <f aca="false">I40</f>
        <v>1891.908</v>
      </c>
    </row>
    <row r="133" customFormat="false" ht="15.75" hidden="false" customHeight="false" outlineLevel="0" collapsed="false">
      <c r="A133" s="14" t="s">
        <v>10</v>
      </c>
      <c r="B133" s="15" t="s">
        <v>138</v>
      </c>
      <c r="C133" s="15"/>
      <c r="D133" s="15"/>
      <c r="E133" s="15"/>
      <c r="F133" s="15"/>
      <c r="G133" s="15"/>
      <c r="H133" s="15"/>
      <c r="I133" s="314" t="n">
        <f aca="false">I49</f>
        <v>505.17</v>
      </c>
    </row>
    <row r="134" customFormat="false" ht="15.75" hidden="false" customHeight="false" outlineLevel="0" collapsed="false">
      <c r="A134" s="14" t="s">
        <v>12</v>
      </c>
      <c r="B134" s="15" t="s">
        <v>139</v>
      </c>
      <c r="C134" s="15"/>
      <c r="D134" s="15"/>
      <c r="E134" s="15"/>
      <c r="F134" s="15"/>
      <c r="G134" s="15"/>
      <c r="H134" s="15"/>
      <c r="I134" s="315" t="n">
        <f aca="false">I54</f>
        <v>137.67625</v>
      </c>
    </row>
    <row r="135" customFormat="false" ht="15.75" hidden="false" customHeight="false" outlineLevel="0" collapsed="false">
      <c r="A135" s="14" t="s">
        <v>14</v>
      </c>
      <c r="B135" s="15" t="s">
        <v>109</v>
      </c>
      <c r="C135" s="15"/>
      <c r="D135" s="15"/>
      <c r="E135" s="15"/>
      <c r="F135" s="15"/>
      <c r="G135" s="15"/>
      <c r="H135" s="15"/>
      <c r="I135" s="314" t="n">
        <f aca="false">I106</f>
        <v>1333.2992</v>
      </c>
    </row>
    <row r="136" customFormat="false" ht="15.75" hidden="false" customHeight="false" outlineLevel="0" collapsed="false">
      <c r="A136" s="140" t="s">
        <v>140</v>
      </c>
      <c r="B136" s="140"/>
      <c r="C136" s="140"/>
      <c r="D136" s="140"/>
      <c r="E136" s="140"/>
      <c r="F136" s="140"/>
      <c r="G136" s="140"/>
      <c r="H136" s="140"/>
      <c r="I136" s="316" t="n">
        <f aca="false">SUM(I132:I135)</f>
        <v>3868.05345</v>
      </c>
    </row>
    <row r="137" customFormat="false" ht="15.75" hidden="false" customHeight="false" outlineLevel="0" collapsed="false">
      <c r="A137" s="14" t="s">
        <v>40</v>
      </c>
      <c r="B137" s="15" t="s">
        <v>141</v>
      </c>
      <c r="C137" s="15"/>
      <c r="D137" s="15"/>
      <c r="E137" s="15"/>
      <c r="F137" s="15"/>
      <c r="G137" s="15"/>
      <c r="H137" s="15"/>
      <c r="I137" s="314" t="n">
        <f aca="false">I122</f>
        <v>1265.53</v>
      </c>
    </row>
    <row r="138" customFormat="false" ht="15.75" hidden="false" customHeight="false" outlineLevel="0" collapsed="false">
      <c r="A138" s="143" t="s">
        <v>142</v>
      </c>
      <c r="B138" s="143"/>
      <c r="C138" s="143"/>
      <c r="D138" s="143"/>
      <c r="E138" s="143"/>
      <c r="F138" s="143"/>
      <c r="G138" s="143"/>
      <c r="H138" s="143"/>
      <c r="I138" s="317" t="n">
        <f aca="false">SUM(I136+I137)</f>
        <v>5133.58345</v>
      </c>
    </row>
    <row r="139" customFormat="false" ht="15.75" hidden="false" customHeight="false" outlineLevel="0" collapsed="false">
      <c r="A139" s="301"/>
      <c r="B139" s="301"/>
      <c r="C139" s="301"/>
      <c r="D139" s="301"/>
      <c r="E139" s="301"/>
      <c r="F139" s="301"/>
      <c r="G139" s="301"/>
      <c r="H139" s="301"/>
      <c r="I139" s="301"/>
    </row>
    <row r="140" customFormat="false" ht="15.75" hidden="false" customHeight="false" outlineLevel="0" collapsed="false">
      <c r="A140" s="33" t="s">
        <v>143</v>
      </c>
      <c r="B140" s="33"/>
      <c r="C140" s="33"/>
      <c r="D140" s="33"/>
      <c r="E140" s="33"/>
      <c r="F140" s="33"/>
      <c r="G140" s="33"/>
      <c r="H140" s="33"/>
      <c r="I140" s="33"/>
    </row>
    <row r="141" customFormat="false" ht="15.75" hidden="false" customHeight="false" outlineLevel="0" collapsed="false">
      <c r="A141" s="146" t="s">
        <v>144</v>
      </c>
      <c r="B141" s="146"/>
      <c r="C141" s="146"/>
      <c r="D141" s="146"/>
      <c r="E141" s="146"/>
      <c r="F141" s="146"/>
      <c r="G141" s="146"/>
      <c r="H141" s="146"/>
      <c r="I141" s="146"/>
    </row>
    <row r="142" customFormat="false" ht="47.25" hidden="false" customHeight="true" outlineLevel="0" collapsed="false">
      <c r="A142" s="147" t="s">
        <v>145</v>
      </c>
      <c r="B142" s="147"/>
      <c r="C142" s="148" t="s">
        <v>146</v>
      </c>
      <c r="D142" s="148"/>
      <c r="E142" s="149" t="s">
        <v>147</v>
      </c>
      <c r="F142" s="148" t="s">
        <v>148</v>
      </c>
      <c r="G142" s="148"/>
      <c r="H142" s="148" t="s">
        <v>149</v>
      </c>
      <c r="I142" s="247" t="s">
        <v>150</v>
      </c>
    </row>
    <row r="143" customFormat="false" ht="16.5" hidden="false" customHeight="true" outlineLevel="0" collapsed="false">
      <c r="A143" s="151" t="s">
        <v>26</v>
      </c>
      <c r="B143" s="151"/>
      <c r="C143" s="152" t="n">
        <f aca="false">I138</f>
        <v>5133.58345</v>
      </c>
      <c r="D143" s="152"/>
      <c r="E143" s="153" t="n">
        <v>2</v>
      </c>
      <c r="F143" s="154" t="n">
        <f aca="false">C143</f>
        <v>5133.58345</v>
      </c>
      <c r="G143" s="154"/>
      <c r="H143" s="155" t="n">
        <v>1</v>
      </c>
      <c r="I143" s="253" t="n">
        <f aca="false">F143*H143</f>
        <v>5133.58345</v>
      </c>
    </row>
    <row r="144" customFormat="false" ht="15.75" hidden="false" customHeight="false" outlineLevel="0" collapsed="false">
      <c r="A144" s="301"/>
      <c r="B144" s="301"/>
      <c r="C144" s="301"/>
      <c r="D144" s="301"/>
      <c r="E144" s="301"/>
      <c r="F144" s="301"/>
      <c r="G144" s="301"/>
      <c r="H144" s="301"/>
      <c r="I144" s="301"/>
    </row>
    <row r="145" customFormat="false" ht="15.75" hidden="false" customHeight="false" outlineLevel="0" collapsed="false">
      <c r="A145" s="33" t="s">
        <v>151</v>
      </c>
      <c r="B145" s="33"/>
      <c r="C145" s="33"/>
      <c r="D145" s="33"/>
      <c r="E145" s="33"/>
      <c r="F145" s="33"/>
      <c r="G145" s="33"/>
      <c r="H145" s="33"/>
      <c r="I145" s="33"/>
    </row>
    <row r="146" customFormat="false" ht="15.75" hidden="false" customHeight="false" outlineLevel="0" collapsed="false">
      <c r="A146" s="146" t="s">
        <v>152</v>
      </c>
      <c r="B146" s="146"/>
      <c r="C146" s="146"/>
      <c r="D146" s="146"/>
      <c r="E146" s="146"/>
      <c r="F146" s="146"/>
      <c r="G146" s="146"/>
      <c r="H146" s="146"/>
      <c r="I146" s="146"/>
    </row>
    <row r="147" customFormat="false" ht="15.75" hidden="false" customHeight="false" outlineLevel="0" collapsed="false">
      <c r="A147" s="157" t="s">
        <v>153</v>
      </c>
      <c r="B147" s="157"/>
      <c r="C147" s="157"/>
      <c r="D147" s="157"/>
      <c r="E147" s="157"/>
      <c r="F147" s="157"/>
      <c r="G147" s="157"/>
      <c r="H147" s="157"/>
      <c r="I147" s="157"/>
    </row>
    <row r="148" customFormat="false" ht="15.75" hidden="false" customHeight="false" outlineLevel="0" collapsed="false">
      <c r="A148" s="158" t="s">
        <v>8</v>
      </c>
      <c r="B148" s="15" t="s">
        <v>154</v>
      </c>
      <c r="C148" s="15"/>
      <c r="D148" s="15"/>
      <c r="E148" s="15"/>
      <c r="F148" s="15"/>
      <c r="G148" s="15"/>
      <c r="H148" s="15"/>
      <c r="I148" s="318" t="n">
        <f aca="false">F143</f>
        <v>5133.58345</v>
      </c>
    </row>
    <row r="149" customFormat="false" ht="15.75" hidden="false" customHeight="false" outlineLevel="0" collapsed="false">
      <c r="A149" s="158" t="s">
        <v>10</v>
      </c>
      <c r="B149" s="15" t="s">
        <v>155</v>
      </c>
      <c r="C149" s="15"/>
      <c r="D149" s="15"/>
      <c r="E149" s="15"/>
      <c r="F149" s="15"/>
      <c r="G149" s="15"/>
      <c r="H149" s="15"/>
      <c r="I149" s="319" t="n">
        <f aca="false">I143</f>
        <v>5133.58345</v>
      </c>
    </row>
    <row r="150" customFormat="false" ht="16.5" hidden="false" customHeight="true" outlineLevel="0" collapsed="false">
      <c r="A150" s="161" t="s">
        <v>12</v>
      </c>
      <c r="B150" s="162" t="s">
        <v>156</v>
      </c>
      <c r="C150" s="162"/>
      <c r="D150" s="162"/>
      <c r="E150" s="162"/>
      <c r="F150" s="162"/>
      <c r="G150" s="162"/>
      <c r="H150" s="162"/>
      <c r="I150" s="320" t="n">
        <f aca="false">I149*12</f>
        <v>61603.0014</v>
      </c>
    </row>
  </sheetData>
  <mergeCells count="155">
    <mergeCell ref="A8:I8"/>
    <mergeCell ref="A9:I9"/>
    <mergeCell ref="A10:I10"/>
    <mergeCell ref="A11:I11"/>
    <mergeCell ref="A12:I12"/>
    <mergeCell ref="A13:I13"/>
    <mergeCell ref="A14:I14"/>
    <mergeCell ref="B15:H15"/>
    <mergeCell ref="B16:H16"/>
    <mergeCell ref="B17:H17"/>
    <mergeCell ref="B18:H18"/>
    <mergeCell ref="A19:I19"/>
    <mergeCell ref="A20:D20"/>
    <mergeCell ref="E20:F20"/>
    <mergeCell ref="G20:I20"/>
    <mergeCell ref="A21:D21"/>
    <mergeCell ref="E21:F22"/>
    <mergeCell ref="G21:I22"/>
    <mergeCell ref="A22:D22"/>
    <mergeCell ref="B23:I23"/>
    <mergeCell ref="A24:I24"/>
    <mergeCell ref="A25:I25"/>
    <mergeCell ref="A26:I26"/>
    <mergeCell ref="B27:H27"/>
    <mergeCell ref="B28:H28"/>
    <mergeCell ref="B29:H29"/>
    <mergeCell ref="B30:H30"/>
    <mergeCell ref="B31:H31"/>
    <mergeCell ref="B32:H32"/>
    <mergeCell ref="B33:H33"/>
    <mergeCell ref="A34:I34"/>
    <mergeCell ref="A35:I35"/>
    <mergeCell ref="B36:H36"/>
    <mergeCell ref="B37:H37"/>
    <mergeCell ref="B38:H38"/>
    <mergeCell ref="B39:H39"/>
    <mergeCell ref="A40:H40"/>
    <mergeCell ref="A41:I41"/>
    <mergeCell ref="B42:H42"/>
    <mergeCell ref="A43:A45"/>
    <mergeCell ref="B43:H43"/>
    <mergeCell ref="B44:G44"/>
    <mergeCell ref="B45:G45"/>
    <mergeCell ref="A46:A47"/>
    <mergeCell ref="B46:H46"/>
    <mergeCell ref="B47:G47"/>
    <mergeCell ref="B48:H48"/>
    <mergeCell ref="A49:H49"/>
    <mergeCell ref="A50:I50"/>
    <mergeCell ref="A51:I51"/>
    <mergeCell ref="B52:H52"/>
    <mergeCell ref="B53:H53"/>
    <mergeCell ref="A54:H54"/>
    <mergeCell ref="A55:I55"/>
    <mergeCell ref="A56:I56"/>
    <mergeCell ref="B57:G57"/>
    <mergeCell ref="B58:G58"/>
    <mergeCell ref="B59:G59"/>
    <mergeCell ref="B60:G60"/>
    <mergeCell ref="B61:G61"/>
    <mergeCell ref="B62:G62"/>
    <mergeCell ref="B63:G63"/>
    <mergeCell ref="B64:E64"/>
    <mergeCell ref="B65:G65"/>
    <mergeCell ref="A66:G66"/>
    <mergeCell ref="A67:I67"/>
    <mergeCell ref="A68:I68"/>
    <mergeCell ref="A69:I69"/>
    <mergeCell ref="B70:H70"/>
    <mergeCell ref="B71:H71"/>
    <mergeCell ref="A72:H72"/>
    <mergeCell ref="B73:H73"/>
    <mergeCell ref="A74:H74"/>
    <mergeCell ref="A75:I75"/>
    <mergeCell ref="B76:H76"/>
    <mergeCell ref="B77:H77"/>
    <mergeCell ref="B78:H78"/>
    <mergeCell ref="A79:H79"/>
    <mergeCell ref="A80:I80"/>
    <mergeCell ref="B81:H81"/>
    <mergeCell ref="B82:H82"/>
    <mergeCell ref="B83:H83"/>
    <mergeCell ref="B84:H84"/>
    <mergeCell ref="B85:H85"/>
    <mergeCell ref="B86:H86"/>
    <mergeCell ref="B87:H87"/>
    <mergeCell ref="A88:H88"/>
    <mergeCell ref="A89:I89"/>
    <mergeCell ref="B90:H90"/>
    <mergeCell ref="B91:H91"/>
    <mergeCell ref="B92:H92"/>
    <mergeCell ref="B93:H93"/>
    <mergeCell ref="B94:H94"/>
    <mergeCell ref="B95:H95"/>
    <mergeCell ref="A96:H96"/>
    <mergeCell ref="B97:H97"/>
    <mergeCell ref="A98:H98"/>
    <mergeCell ref="A99:I99"/>
    <mergeCell ref="B100:H100"/>
    <mergeCell ref="B101:H101"/>
    <mergeCell ref="B102:H102"/>
    <mergeCell ref="B103:H103"/>
    <mergeCell ref="B104:H104"/>
    <mergeCell ref="B105:H105"/>
    <mergeCell ref="A106:H106"/>
    <mergeCell ref="A107:I107"/>
    <mergeCell ref="B108:G108"/>
    <mergeCell ref="A109:G109"/>
    <mergeCell ref="B110:G110"/>
    <mergeCell ref="A111:G111"/>
    <mergeCell ref="B112:G112"/>
    <mergeCell ref="A113:G113"/>
    <mergeCell ref="A114:A121"/>
    <mergeCell ref="B114:G114"/>
    <mergeCell ref="B115:G115"/>
    <mergeCell ref="B116:G116"/>
    <mergeCell ref="B117:G117"/>
    <mergeCell ref="B118:G118"/>
    <mergeCell ref="B119:G119"/>
    <mergeCell ref="B120:G120"/>
    <mergeCell ref="B121:G121"/>
    <mergeCell ref="A122:H122"/>
    <mergeCell ref="A123:G123"/>
    <mergeCell ref="A124:B125"/>
    <mergeCell ref="C124:I124"/>
    <mergeCell ref="C125:I125"/>
    <mergeCell ref="A126:I126"/>
    <mergeCell ref="A127:I127"/>
    <mergeCell ref="A128:I128"/>
    <mergeCell ref="A129:I129"/>
    <mergeCell ref="A130:I130"/>
    <mergeCell ref="A131:H131"/>
    <mergeCell ref="B132:H132"/>
    <mergeCell ref="B133:H133"/>
    <mergeCell ref="B134:H134"/>
    <mergeCell ref="B135:H135"/>
    <mergeCell ref="A136:H136"/>
    <mergeCell ref="B137:H137"/>
    <mergeCell ref="A138:H138"/>
    <mergeCell ref="A139:I139"/>
    <mergeCell ref="A140:I140"/>
    <mergeCell ref="A141:I141"/>
    <mergeCell ref="A142:B142"/>
    <mergeCell ref="C142:D142"/>
    <mergeCell ref="F142:G142"/>
    <mergeCell ref="A143:B143"/>
    <mergeCell ref="C143:D143"/>
    <mergeCell ref="F143:G143"/>
    <mergeCell ref="A144:I144"/>
    <mergeCell ref="A145:I145"/>
    <mergeCell ref="A146:I146"/>
    <mergeCell ref="A147:I147"/>
    <mergeCell ref="B148:H148"/>
    <mergeCell ref="B149:H149"/>
    <mergeCell ref="B150:H150"/>
  </mergeCells>
  <printOptions headings="false" gridLines="false" gridLinesSet="true" horizontalCentered="false" verticalCentered="false"/>
  <pageMargins left="0.698611111111111" right="0.698611111111111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4" man="true" max="16383" min="0"/>
    <brk id="106" man="true" max="16383" min="0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tabColor rgb="FFFDEADA"/>
    <pageSetUpPr fitToPage="false"/>
  </sheetPr>
  <dimension ref="A1:N151"/>
  <sheetViews>
    <sheetView showFormulas="false" showGridLines="true" showRowColHeaders="true" showZeros="true" rightToLeft="false" tabSelected="false" showOutlineSymbols="true" defaultGridColor="true" view="pageBreakPreview" topLeftCell="A142" colorId="64" zoomScale="76" zoomScaleNormal="100" zoomScalePageLayoutView="76" workbookViewId="0">
      <selection pane="topLeft" activeCell="I47" activeCellId="0" sqref="I47"/>
    </sheetView>
  </sheetViews>
  <sheetFormatPr defaultRowHeight="15" zeroHeight="false" outlineLevelRow="0" outlineLevelCol="0"/>
  <cols>
    <col collapsed="false" customWidth="true" hidden="false" outlineLevel="0" max="1" min="1" style="1" width="15.42"/>
    <col collapsed="false" customWidth="true" hidden="false" outlineLevel="0" max="2" min="2" style="1" width="17.59"/>
    <col collapsed="false" customWidth="true" hidden="false" outlineLevel="0" max="3" min="3" style="1" width="18.12"/>
    <col collapsed="false" customWidth="true" hidden="false" outlineLevel="0" max="4" min="4" style="1" width="17"/>
    <col collapsed="false" customWidth="true" hidden="false" outlineLevel="0" max="5" min="5" style="1" width="18.29"/>
    <col collapsed="false" customWidth="true" hidden="false" outlineLevel="0" max="6" min="6" style="1" width="19.42"/>
    <col collapsed="false" customWidth="true" hidden="false" outlineLevel="0" max="7" min="7" style="1" width="19.31"/>
    <col collapsed="false" customWidth="true" hidden="false" outlineLevel="0" max="8" min="8" style="1" width="30.57"/>
    <col collapsed="false" customWidth="true" hidden="false" outlineLevel="0" max="9" min="9" style="1" width="43.42"/>
    <col collapsed="false" customWidth="true" hidden="true" outlineLevel="0" max="11" min="10" style="1" width="9"/>
    <col collapsed="false" customWidth="true" hidden="false" outlineLevel="0" max="12" min="12" style="1" width="58.57"/>
    <col collapsed="false" customWidth="true" hidden="false" outlineLevel="0" max="1025" min="13" style="1" width="28.57"/>
  </cols>
  <sheetData>
    <row r="1" s="101" customFormat="true" ht="15.75" hidden="false" customHeight="false" outlineLevel="0" collapsed="false">
      <c r="A1" s="173" t="s">
        <v>178</v>
      </c>
      <c r="I1" s="209"/>
    </row>
    <row r="2" s="101" customFormat="true" ht="15.75" hidden="false" customHeight="false" outlineLevel="0" collapsed="false">
      <c r="A2" s="173" t="s">
        <v>179</v>
      </c>
      <c r="I2" s="209"/>
    </row>
    <row r="3" s="101" customFormat="true" ht="15.75" hidden="false" customHeight="false" outlineLevel="0" collapsed="false">
      <c r="A3" s="173" t="s">
        <v>180</v>
      </c>
      <c r="I3" s="209"/>
    </row>
    <row r="4" s="101" customFormat="true" ht="15.75" hidden="false" customHeight="false" outlineLevel="0" collapsed="false">
      <c r="A4" s="173" t="s">
        <v>181</v>
      </c>
      <c r="I4" s="209"/>
    </row>
    <row r="5" s="101" customFormat="true" ht="15.75" hidden="false" customHeight="false" outlineLevel="0" collapsed="false">
      <c r="A5" s="173" t="s">
        <v>182</v>
      </c>
      <c r="I5" s="209"/>
    </row>
    <row r="6" s="101" customFormat="true" ht="15.75" hidden="false" customHeight="false" outlineLevel="0" collapsed="false">
      <c r="A6" s="173" t="s">
        <v>183</v>
      </c>
      <c r="I6" s="209"/>
    </row>
    <row r="7" customFormat="false" ht="15.75" hidden="false" customHeight="false" outlineLevel="0" collapsed="false">
      <c r="A7" s="174" t="s">
        <v>184</v>
      </c>
      <c r="I7" s="171"/>
    </row>
    <row r="8" customFormat="false" ht="15.75" hidden="false" customHeight="false" outlineLevel="0" collapsed="false">
      <c r="A8" s="263" t="s">
        <v>1</v>
      </c>
      <c r="B8" s="263"/>
      <c r="C8" s="263"/>
      <c r="D8" s="263"/>
      <c r="E8" s="263"/>
      <c r="F8" s="263"/>
      <c r="G8" s="263"/>
      <c r="H8" s="263"/>
      <c r="I8" s="263"/>
    </row>
    <row r="9" customFormat="false" ht="15.75" hidden="false" customHeight="false" outlineLevel="0" collapsed="false">
      <c r="A9" s="4" t="s">
        <v>2</v>
      </c>
      <c r="B9" s="4"/>
      <c r="C9" s="4"/>
      <c r="D9" s="4"/>
      <c r="E9" s="4"/>
      <c r="F9" s="4"/>
      <c r="G9" s="4"/>
      <c r="H9" s="4"/>
      <c r="I9" s="4"/>
    </row>
    <row r="10" customFormat="false" ht="15.75" hidden="false" customHeight="false" outlineLevel="0" collapsed="false">
      <c r="A10" s="5" t="s">
        <v>3</v>
      </c>
      <c r="B10" s="5"/>
      <c r="C10" s="5"/>
      <c r="D10" s="5"/>
      <c r="E10" s="5"/>
      <c r="F10" s="5"/>
      <c r="G10" s="5"/>
      <c r="H10" s="5"/>
      <c r="I10" s="5"/>
    </row>
    <row r="11" customFormat="false" ht="15.75" hidden="false" customHeight="false" outlineLevel="0" collapsed="false">
      <c r="A11" s="6" t="s">
        <v>4</v>
      </c>
      <c r="B11" s="6"/>
      <c r="C11" s="6"/>
      <c r="D11" s="6"/>
      <c r="E11" s="6"/>
      <c r="F11" s="6"/>
      <c r="G11" s="6"/>
      <c r="H11" s="6"/>
      <c r="I11" s="6"/>
    </row>
    <row r="12" customFormat="false" ht="15.75" hidden="false" customHeight="false" outlineLevel="0" collapsed="false">
      <c r="A12" s="7" t="s">
        <v>5</v>
      </c>
      <c r="B12" s="7"/>
      <c r="C12" s="7"/>
      <c r="D12" s="7"/>
      <c r="E12" s="7"/>
      <c r="F12" s="7"/>
      <c r="G12" s="7"/>
      <c r="H12" s="7"/>
      <c r="I12" s="7"/>
    </row>
    <row r="13" customFormat="false" ht="15.75" hidden="false" customHeight="false" outlineLevel="0" collapsed="false">
      <c r="A13" s="8" t="s">
        <v>6</v>
      </c>
      <c r="B13" s="8"/>
      <c r="C13" s="8"/>
      <c r="D13" s="8"/>
      <c r="E13" s="8"/>
      <c r="F13" s="8"/>
      <c r="G13" s="8"/>
      <c r="H13" s="8"/>
      <c r="I13" s="8"/>
    </row>
    <row r="14" customFormat="false" ht="15.75" hidden="false" customHeight="false" outlineLevel="0" collapsed="false">
      <c r="A14" s="179" t="s">
        <v>7</v>
      </c>
      <c r="B14" s="179"/>
      <c r="C14" s="179"/>
      <c r="D14" s="179"/>
      <c r="E14" s="179"/>
      <c r="F14" s="179"/>
      <c r="G14" s="179"/>
      <c r="H14" s="179"/>
      <c r="I14" s="179"/>
    </row>
    <row r="15" customFormat="false" ht="15.75" hidden="false" customHeight="false" outlineLevel="0" collapsed="false">
      <c r="A15" s="10" t="s">
        <v>8</v>
      </c>
      <c r="B15" s="11" t="s">
        <v>9</v>
      </c>
      <c r="C15" s="11"/>
      <c r="D15" s="11"/>
      <c r="E15" s="11"/>
      <c r="F15" s="11"/>
      <c r="G15" s="11"/>
      <c r="H15" s="11"/>
      <c r="I15" s="307"/>
      <c r="L15" s="13"/>
    </row>
    <row r="16" customFormat="false" ht="15.75" hidden="false" customHeight="false" outlineLevel="0" collapsed="false">
      <c r="A16" s="14" t="s">
        <v>10</v>
      </c>
      <c r="B16" s="15" t="s">
        <v>11</v>
      </c>
      <c r="C16" s="15"/>
      <c r="D16" s="15"/>
      <c r="E16" s="15"/>
      <c r="F16" s="15"/>
      <c r="G16" s="15"/>
      <c r="H16" s="15"/>
      <c r="I16" s="308" t="s">
        <v>290</v>
      </c>
      <c r="L16" s="13"/>
    </row>
    <row r="17" customFormat="false" ht="47.25" hidden="false" customHeight="true" outlineLevel="0" collapsed="false">
      <c r="A17" s="17" t="s">
        <v>12</v>
      </c>
      <c r="B17" s="67" t="s">
        <v>13</v>
      </c>
      <c r="C17" s="67"/>
      <c r="D17" s="67"/>
      <c r="E17" s="67"/>
      <c r="F17" s="67"/>
      <c r="G17" s="67"/>
      <c r="H17" s="67"/>
      <c r="I17" s="37" t="s">
        <v>186</v>
      </c>
      <c r="L17" s="13"/>
    </row>
    <row r="18" customFormat="false" ht="15.75" hidden="false" customHeight="false" outlineLevel="0" collapsed="false">
      <c r="A18" s="20" t="s">
        <v>14</v>
      </c>
      <c r="B18" s="21" t="s">
        <v>15</v>
      </c>
      <c r="C18" s="21"/>
      <c r="D18" s="21"/>
      <c r="E18" s="21"/>
      <c r="F18" s="21"/>
      <c r="G18" s="21"/>
      <c r="H18" s="21"/>
      <c r="I18" s="309" t="n">
        <v>12</v>
      </c>
    </row>
    <row r="19" customFormat="false" ht="15.75" hidden="false" customHeight="false" outlineLevel="0" collapsed="false">
      <c r="A19" s="179" t="s">
        <v>16</v>
      </c>
      <c r="B19" s="179"/>
      <c r="C19" s="179"/>
      <c r="D19" s="179"/>
      <c r="E19" s="179"/>
      <c r="F19" s="179"/>
      <c r="G19" s="179"/>
      <c r="H19" s="179"/>
      <c r="I19" s="179"/>
    </row>
    <row r="20" customFormat="false" ht="15.75" hidden="false" customHeight="false" outlineLevel="0" collapsed="false">
      <c r="A20" s="23" t="s">
        <v>17</v>
      </c>
      <c r="B20" s="23"/>
      <c r="C20" s="23"/>
      <c r="D20" s="23"/>
      <c r="E20" s="24" t="s">
        <v>18</v>
      </c>
      <c r="F20" s="24"/>
      <c r="G20" s="25" t="s">
        <v>19</v>
      </c>
      <c r="H20" s="25"/>
      <c r="I20" s="25"/>
    </row>
    <row r="21" customFormat="false" ht="15.75" hidden="false" customHeight="true" outlineLevel="0" collapsed="false">
      <c r="A21" s="26" t="s">
        <v>20</v>
      </c>
      <c r="B21" s="26"/>
      <c r="C21" s="26"/>
      <c r="D21" s="26"/>
      <c r="E21" s="27" t="s">
        <v>21</v>
      </c>
      <c r="F21" s="27"/>
      <c r="G21" s="28" t="n">
        <v>1</v>
      </c>
      <c r="H21" s="28"/>
      <c r="I21" s="28"/>
    </row>
    <row r="22" customFormat="false" ht="30" hidden="false" customHeight="true" outlineLevel="0" collapsed="false">
      <c r="A22" s="310" t="s">
        <v>209</v>
      </c>
      <c r="B22" s="310"/>
      <c r="C22" s="310"/>
      <c r="D22" s="310"/>
      <c r="E22" s="27"/>
      <c r="F22" s="27"/>
      <c r="G22" s="28"/>
      <c r="H22" s="28"/>
      <c r="I22" s="28"/>
      <c r="L22" s="30"/>
    </row>
    <row r="23" customFormat="false" ht="15.75" hidden="false" customHeight="false" outlineLevel="0" collapsed="false">
      <c r="A23" s="31"/>
      <c r="B23" s="269"/>
      <c r="C23" s="269"/>
      <c r="D23" s="269"/>
      <c r="E23" s="269"/>
      <c r="F23" s="269"/>
      <c r="G23" s="269"/>
      <c r="H23" s="269"/>
      <c r="I23" s="269"/>
    </row>
    <row r="24" customFormat="false" ht="15.75" hidden="false" customHeight="false" outlineLevel="0" collapsed="false">
      <c r="A24" s="33" t="s">
        <v>22</v>
      </c>
      <c r="B24" s="33"/>
      <c r="C24" s="33"/>
      <c r="D24" s="33"/>
      <c r="E24" s="33"/>
      <c r="F24" s="33"/>
      <c r="G24" s="33"/>
      <c r="H24" s="33"/>
      <c r="I24" s="33"/>
    </row>
    <row r="25" customFormat="false" ht="15.75" hidden="false" customHeight="false" outlineLevel="0" collapsed="false">
      <c r="A25" s="34" t="s">
        <v>23</v>
      </c>
      <c r="B25" s="34"/>
      <c r="C25" s="34"/>
      <c r="D25" s="34"/>
      <c r="E25" s="34"/>
      <c r="F25" s="34"/>
      <c r="G25" s="34"/>
      <c r="H25" s="34"/>
      <c r="I25" s="34"/>
    </row>
    <row r="26" customFormat="false" ht="15.75" hidden="false" customHeight="false" outlineLevel="0" collapsed="false">
      <c r="A26" s="35" t="s">
        <v>24</v>
      </c>
      <c r="B26" s="35"/>
      <c r="C26" s="35"/>
      <c r="D26" s="35"/>
      <c r="E26" s="35"/>
      <c r="F26" s="35"/>
      <c r="G26" s="35"/>
      <c r="H26" s="35"/>
      <c r="I26" s="35"/>
    </row>
    <row r="27" customFormat="false" ht="15.75" hidden="false" customHeight="true" outlineLevel="0" collapsed="false">
      <c r="A27" s="14" t="n">
        <v>1</v>
      </c>
      <c r="B27" s="36" t="s">
        <v>25</v>
      </c>
      <c r="C27" s="36"/>
      <c r="D27" s="36"/>
      <c r="E27" s="36"/>
      <c r="F27" s="36"/>
      <c r="G27" s="36"/>
      <c r="H27" s="36"/>
      <c r="I27" s="37" t="s">
        <v>26</v>
      </c>
    </row>
    <row r="28" customFormat="false" ht="15.75" hidden="false" customHeight="true" outlineLevel="0" collapsed="false">
      <c r="A28" s="14" t="n">
        <v>2</v>
      </c>
      <c r="B28" s="38" t="s">
        <v>27</v>
      </c>
      <c r="C28" s="38"/>
      <c r="D28" s="38"/>
      <c r="E28" s="38"/>
      <c r="F28" s="38"/>
      <c r="G28" s="38"/>
      <c r="H28" s="38"/>
      <c r="I28" s="308" t="n">
        <f aca="false">Dados!B2</f>
        <v>1305.17</v>
      </c>
    </row>
    <row r="29" customFormat="false" ht="15.75" hidden="false" customHeight="true" outlineLevel="0" collapsed="false">
      <c r="A29" s="14" t="n">
        <v>3</v>
      </c>
      <c r="B29" s="38" t="s">
        <v>28</v>
      </c>
      <c r="C29" s="38"/>
      <c r="D29" s="38"/>
      <c r="E29" s="38"/>
      <c r="F29" s="38"/>
      <c r="G29" s="38"/>
      <c r="H29" s="38"/>
      <c r="I29" s="308" t="s">
        <v>188</v>
      </c>
    </row>
    <row r="30" customFormat="false" ht="15.75" hidden="false" customHeight="true" outlineLevel="0" collapsed="false">
      <c r="A30" s="40" t="n">
        <v>4</v>
      </c>
      <c r="B30" s="41" t="s">
        <v>29</v>
      </c>
      <c r="C30" s="41"/>
      <c r="D30" s="41"/>
      <c r="E30" s="41"/>
      <c r="F30" s="41"/>
      <c r="G30" s="41"/>
      <c r="H30" s="41"/>
      <c r="I30" s="311" t="n">
        <v>42005</v>
      </c>
    </row>
    <row r="31" customFormat="false" ht="15.75" hidden="false" customHeight="true" outlineLevel="0" collapsed="false">
      <c r="A31" s="40" t="n">
        <v>5</v>
      </c>
      <c r="B31" s="38" t="s">
        <v>30</v>
      </c>
      <c r="C31" s="38"/>
      <c r="D31" s="38"/>
      <c r="E31" s="38"/>
      <c r="F31" s="38"/>
      <c r="G31" s="38"/>
      <c r="H31" s="38"/>
      <c r="I31" s="311" t="n">
        <f aca="false">I28/220</f>
        <v>5.93259090909091</v>
      </c>
    </row>
    <row r="32" customFormat="false" ht="15.75" hidden="false" customHeight="true" outlineLevel="0" collapsed="false">
      <c r="A32" s="40" t="n">
        <v>6</v>
      </c>
      <c r="B32" s="38" t="s">
        <v>31</v>
      </c>
      <c r="C32" s="38"/>
      <c r="D32" s="38"/>
      <c r="E32" s="38"/>
      <c r="F32" s="38"/>
      <c r="G32" s="38"/>
      <c r="H32" s="38"/>
      <c r="I32" s="311" t="n">
        <f aca="false">I31*1.5</f>
        <v>8.89888636363636</v>
      </c>
    </row>
    <row r="33" customFormat="false" ht="16.5" hidden="false" customHeight="true" outlineLevel="0" collapsed="false">
      <c r="A33" s="20" t="n">
        <v>7</v>
      </c>
      <c r="B33" s="44" t="s">
        <v>32</v>
      </c>
      <c r="C33" s="44"/>
      <c r="D33" s="44"/>
      <c r="E33" s="44"/>
      <c r="F33" s="44"/>
      <c r="G33" s="44"/>
      <c r="H33" s="44"/>
      <c r="I33" s="309" t="n">
        <f aca="false">I31*0.2</f>
        <v>1.18651818181818</v>
      </c>
    </row>
    <row r="34" customFormat="false" ht="15.75" hidden="false" customHeight="false" outlineLevel="0" collapsed="false">
      <c r="A34" s="271"/>
      <c r="B34" s="271"/>
      <c r="C34" s="271"/>
      <c r="D34" s="271"/>
      <c r="E34" s="271"/>
      <c r="F34" s="271"/>
      <c r="G34" s="271"/>
      <c r="H34" s="271"/>
      <c r="I34" s="271"/>
    </row>
    <row r="35" customFormat="false" ht="15.75" hidden="false" customHeight="false" outlineLevel="0" collapsed="false">
      <c r="A35" s="47" t="s">
        <v>33</v>
      </c>
      <c r="B35" s="47"/>
      <c r="C35" s="47"/>
      <c r="D35" s="47"/>
      <c r="E35" s="47"/>
      <c r="F35" s="47"/>
      <c r="G35" s="47"/>
      <c r="H35" s="47"/>
      <c r="I35" s="47"/>
    </row>
    <row r="36" customFormat="false" ht="15.75" hidden="false" customHeight="false" outlineLevel="0" collapsed="false">
      <c r="A36" s="48" t="n">
        <v>1</v>
      </c>
      <c r="B36" s="49" t="s">
        <v>34</v>
      </c>
      <c r="C36" s="49"/>
      <c r="D36" s="49"/>
      <c r="E36" s="49"/>
      <c r="F36" s="49"/>
      <c r="G36" s="49"/>
      <c r="H36" s="49"/>
      <c r="I36" s="204" t="s">
        <v>35</v>
      </c>
      <c r="L36" s="51"/>
    </row>
    <row r="37" customFormat="false" ht="15.75" hidden="false" customHeight="false" outlineLevel="0" collapsed="false">
      <c r="A37" s="17" t="s">
        <v>8</v>
      </c>
      <c r="B37" s="52" t="s">
        <v>210</v>
      </c>
      <c r="C37" s="52"/>
      <c r="D37" s="52"/>
      <c r="E37" s="52"/>
      <c r="F37" s="52"/>
      <c r="G37" s="52"/>
      <c r="H37" s="52"/>
      <c r="I37" s="207" t="n">
        <f aca="false">ROUND(I28*2,2)</f>
        <v>2610.34</v>
      </c>
      <c r="L37" s="51"/>
    </row>
    <row r="38" customFormat="false" ht="49.5" hidden="false" customHeight="true" outlineLevel="0" collapsed="false">
      <c r="A38" s="17" t="s">
        <v>10</v>
      </c>
      <c r="B38" s="54" t="s">
        <v>41</v>
      </c>
      <c r="C38" s="54"/>
      <c r="D38" s="54"/>
      <c r="E38" s="54"/>
      <c r="F38" s="54"/>
      <c r="G38" s="54"/>
      <c r="H38" s="54"/>
      <c r="I38" s="207"/>
      <c r="L38" s="57"/>
    </row>
    <row r="39" customFormat="false" ht="20.25" hidden="false" customHeight="true" outlineLevel="0" collapsed="false">
      <c r="A39" s="17" t="s">
        <v>12</v>
      </c>
      <c r="B39" s="58" t="s">
        <v>43</v>
      </c>
      <c r="C39" s="58"/>
      <c r="D39" s="58"/>
      <c r="E39" s="58"/>
      <c r="F39" s="58"/>
      <c r="G39" s="58"/>
      <c r="H39" s="58"/>
      <c r="I39" s="207" t="n">
        <f aca="false">SUM(I38:I38)*0.2</f>
        <v>0</v>
      </c>
      <c r="K39" s="59"/>
    </row>
    <row r="40" customFormat="false" ht="30" hidden="false" customHeight="true" outlineLevel="0" collapsed="false">
      <c r="A40" s="17" t="s">
        <v>14</v>
      </c>
      <c r="B40" s="54" t="s">
        <v>211</v>
      </c>
      <c r="C40" s="54"/>
      <c r="D40" s="54"/>
      <c r="E40" s="54"/>
      <c r="F40" s="54"/>
      <c r="G40" s="54"/>
      <c r="H40" s="54"/>
      <c r="I40" s="216" t="n">
        <f aca="false">ROUND((I31*30*1.2)+(I31*(11/12)*1.2),2)</f>
        <v>220.1</v>
      </c>
      <c r="K40" s="59"/>
    </row>
    <row r="41" customFormat="false" ht="15.75" hidden="false" customHeight="false" outlineLevel="0" collapsed="false">
      <c r="A41" s="60" t="s">
        <v>44</v>
      </c>
      <c r="B41" s="60"/>
      <c r="C41" s="60"/>
      <c r="D41" s="60"/>
      <c r="E41" s="60"/>
      <c r="F41" s="60"/>
      <c r="G41" s="60"/>
      <c r="H41" s="60"/>
      <c r="I41" s="210" t="n">
        <f aca="false">SUM(I37:I39)</f>
        <v>2610.34</v>
      </c>
    </row>
    <row r="42" customFormat="false" ht="15.75" hidden="false" customHeight="false" outlineLevel="0" collapsed="false">
      <c r="A42" s="47" t="s">
        <v>45</v>
      </c>
      <c r="B42" s="47"/>
      <c r="C42" s="47"/>
      <c r="D42" s="47"/>
      <c r="E42" s="47"/>
      <c r="F42" s="47"/>
      <c r="G42" s="47"/>
      <c r="H42" s="47"/>
      <c r="I42" s="47"/>
    </row>
    <row r="43" customFormat="false" ht="15.75" hidden="false" customHeight="false" outlineLevel="0" collapsed="false">
      <c r="A43" s="62" t="n">
        <v>2</v>
      </c>
      <c r="B43" s="63" t="s">
        <v>46</v>
      </c>
      <c r="C43" s="63"/>
      <c r="D43" s="63"/>
      <c r="E43" s="63"/>
      <c r="F43" s="63"/>
      <c r="G43" s="63"/>
      <c r="H43" s="63"/>
      <c r="I43" s="204" t="s">
        <v>35</v>
      </c>
    </row>
    <row r="44" customFormat="false" ht="31.5" hidden="false" customHeight="true" outlineLevel="0" collapsed="false">
      <c r="A44" s="64" t="s">
        <v>8</v>
      </c>
      <c r="B44" s="54" t="s">
        <v>212</v>
      </c>
      <c r="C44" s="54"/>
      <c r="D44" s="54"/>
      <c r="E44" s="54"/>
      <c r="F44" s="54"/>
      <c r="G44" s="54"/>
      <c r="H44" s="54"/>
      <c r="I44" s="312" t="n">
        <f aca="false">ROUND(((2*H46*H45*15)+(H46*H45*30))-(0.06*(I37+I31*30)),2)</f>
        <v>252.7</v>
      </c>
      <c r="L44" s="66"/>
    </row>
    <row r="45" customFormat="false" ht="31.5" hidden="false" customHeight="true" outlineLevel="0" collapsed="false">
      <c r="A45" s="64"/>
      <c r="B45" s="277" t="s">
        <v>296</v>
      </c>
      <c r="C45" s="277"/>
      <c r="D45" s="277"/>
      <c r="E45" s="277"/>
      <c r="F45" s="277"/>
      <c r="G45" s="277"/>
      <c r="H45" s="278" t="n">
        <f aca="false">Dados!B18</f>
        <v>3.5</v>
      </c>
      <c r="I45" s="312"/>
    </row>
    <row r="46" customFormat="false" ht="15.75" hidden="false" customHeight="false" outlineLevel="0" collapsed="false">
      <c r="A46" s="64"/>
      <c r="B46" s="69" t="s">
        <v>49</v>
      </c>
      <c r="C46" s="69"/>
      <c r="D46" s="69"/>
      <c r="E46" s="69"/>
      <c r="F46" s="69"/>
      <c r="G46" s="69"/>
      <c r="H46" s="70" t="n">
        <v>2</v>
      </c>
      <c r="I46" s="312"/>
    </row>
    <row r="47" customFormat="false" ht="15.75" hidden="false" customHeight="true" outlineLevel="0" collapsed="false">
      <c r="A47" s="64" t="s">
        <v>10</v>
      </c>
      <c r="B47" s="54" t="s">
        <v>50</v>
      </c>
      <c r="C47" s="54"/>
      <c r="D47" s="54"/>
      <c r="E47" s="54"/>
      <c r="F47" s="54"/>
      <c r="G47" s="54"/>
      <c r="H47" s="54"/>
      <c r="I47" s="312" t="n">
        <f aca="false">ROUND((2*15*H48)*(1-0.18),2)</f>
        <v>411.56</v>
      </c>
    </row>
    <row r="48" customFormat="false" ht="15.75" hidden="false" customHeight="false" outlineLevel="0" collapsed="false">
      <c r="A48" s="64"/>
      <c r="B48" s="69" t="s">
        <v>51</v>
      </c>
      <c r="C48" s="69"/>
      <c r="D48" s="69"/>
      <c r="E48" s="69"/>
      <c r="F48" s="69"/>
      <c r="G48" s="69"/>
      <c r="H48" s="280" t="n">
        <f aca="false">Dados!B3</f>
        <v>16.73</v>
      </c>
      <c r="I48" s="223"/>
    </row>
    <row r="49" customFormat="false" ht="31.5" hidden="false" customHeight="true" outlineLevel="0" collapsed="false">
      <c r="A49" s="17" t="s">
        <v>12</v>
      </c>
      <c r="B49" s="58" t="s">
        <v>286</v>
      </c>
      <c r="C49" s="58"/>
      <c r="D49" s="58"/>
      <c r="E49" s="58"/>
      <c r="F49" s="58"/>
      <c r="G49" s="58"/>
      <c r="H49" s="58"/>
      <c r="I49" s="312" t="n">
        <f aca="false">ROUND(Dados!B5*(2+1),2)</f>
        <v>45.06</v>
      </c>
    </row>
    <row r="50" customFormat="false" ht="15.75" hidden="false" customHeight="false" outlineLevel="0" collapsed="false">
      <c r="A50" s="60" t="s">
        <v>53</v>
      </c>
      <c r="B50" s="60"/>
      <c r="C50" s="60"/>
      <c r="D50" s="60"/>
      <c r="E50" s="60"/>
      <c r="F50" s="60"/>
      <c r="G50" s="60"/>
      <c r="H50" s="60"/>
      <c r="I50" s="210" t="n">
        <f aca="false">SUM(I44:I49)</f>
        <v>709.32</v>
      </c>
    </row>
    <row r="51" customFormat="false" ht="15.75" hidden="false" customHeight="false" outlineLevel="0" collapsed="false">
      <c r="A51" s="73" t="s">
        <v>54</v>
      </c>
      <c r="B51" s="73"/>
      <c r="C51" s="73"/>
      <c r="D51" s="73"/>
      <c r="E51" s="73"/>
      <c r="F51" s="73"/>
      <c r="G51" s="73"/>
      <c r="H51" s="73"/>
      <c r="I51" s="73"/>
    </row>
    <row r="52" customFormat="false" ht="15.75" hidden="false" customHeight="false" outlineLevel="0" collapsed="false">
      <c r="A52" s="47" t="s">
        <v>55</v>
      </c>
      <c r="B52" s="47"/>
      <c r="C52" s="47"/>
      <c r="D52" s="47"/>
      <c r="E52" s="47"/>
      <c r="F52" s="47"/>
      <c r="G52" s="47"/>
      <c r="H52" s="47"/>
      <c r="I52" s="47"/>
    </row>
    <row r="53" customFormat="false" ht="15.75" hidden="false" customHeight="false" outlineLevel="0" collapsed="false">
      <c r="A53" s="62" t="n">
        <v>3</v>
      </c>
      <c r="B53" s="63" t="s">
        <v>56</v>
      </c>
      <c r="C53" s="63"/>
      <c r="D53" s="63"/>
      <c r="E53" s="63"/>
      <c r="F53" s="63"/>
      <c r="G53" s="63"/>
      <c r="H53" s="63"/>
      <c r="I53" s="204" t="s">
        <v>35</v>
      </c>
    </row>
    <row r="54" customFormat="false" ht="15.75" hidden="false" customHeight="false" outlineLevel="0" collapsed="false">
      <c r="A54" s="64" t="s">
        <v>8</v>
      </c>
      <c r="B54" s="74" t="s">
        <v>215</v>
      </c>
      <c r="C54" s="74"/>
      <c r="D54" s="74"/>
      <c r="E54" s="74"/>
      <c r="F54" s="74"/>
      <c r="G54" s="74"/>
      <c r="H54" s="74"/>
      <c r="I54" s="75" t="n">
        <f aca="false">Dados!D6*(2+1)</f>
        <v>206.514375</v>
      </c>
      <c r="J54" s="76"/>
      <c r="K54" s="77"/>
    </row>
    <row r="55" customFormat="false" ht="15.75" hidden="false" customHeight="false" outlineLevel="0" collapsed="false">
      <c r="A55" s="60" t="s">
        <v>58</v>
      </c>
      <c r="B55" s="60"/>
      <c r="C55" s="60"/>
      <c r="D55" s="60"/>
      <c r="E55" s="60"/>
      <c r="F55" s="60"/>
      <c r="G55" s="60"/>
      <c r="H55" s="60"/>
      <c r="I55" s="78" t="n">
        <f aca="false">SUM(I54:I54)</f>
        <v>206.514375</v>
      </c>
    </row>
    <row r="56" customFormat="false" ht="15.75" hidden="false" customHeight="false" outlineLevel="0" collapsed="false">
      <c r="A56" s="47" t="s">
        <v>59</v>
      </c>
      <c r="B56" s="47"/>
      <c r="C56" s="47"/>
      <c r="D56" s="47"/>
      <c r="E56" s="47"/>
      <c r="F56" s="47"/>
      <c r="G56" s="47"/>
      <c r="H56" s="47"/>
      <c r="I56" s="47"/>
    </row>
    <row r="57" customFormat="false" ht="15.75" hidden="false" customHeight="false" outlineLevel="0" collapsed="false">
      <c r="A57" s="79" t="s">
        <v>60</v>
      </c>
      <c r="B57" s="79"/>
      <c r="C57" s="79"/>
      <c r="D57" s="79"/>
      <c r="E57" s="79"/>
      <c r="F57" s="79"/>
      <c r="G57" s="79"/>
      <c r="H57" s="79"/>
      <c r="I57" s="79"/>
    </row>
    <row r="58" customFormat="false" ht="15.75" hidden="false" customHeight="false" outlineLevel="0" collapsed="false">
      <c r="A58" s="62" t="s">
        <v>61</v>
      </c>
      <c r="B58" s="80" t="s">
        <v>62</v>
      </c>
      <c r="C58" s="80"/>
      <c r="D58" s="80"/>
      <c r="E58" s="80"/>
      <c r="F58" s="80"/>
      <c r="G58" s="80"/>
      <c r="H58" s="81" t="s">
        <v>63</v>
      </c>
      <c r="I58" s="204" t="s">
        <v>35</v>
      </c>
    </row>
    <row r="59" customFormat="false" ht="15.75" hidden="false" customHeight="false" outlineLevel="0" collapsed="false">
      <c r="A59" s="82" t="s">
        <v>8</v>
      </c>
      <c r="B59" s="83" t="s">
        <v>64</v>
      </c>
      <c r="C59" s="83"/>
      <c r="D59" s="83"/>
      <c r="E59" s="83"/>
      <c r="F59" s="83"/>
      <c r="G59" s="83"/>
      <c r="H59" s="84" t="n">
        <v>0.2</v>
      </c>
      <c r="I59" s="207" t="n">
        <f aca="false">ROUND($I$41*H59,2)</f>
        <v>522.07</v>
      </c>
      <c r="K59" s="66"/>
    </row>
    <row r="60" customFormat="false" ht="15.75" hidden="false" customHeight="false" outlineLevel="0" collapsed="false">
      <c r="A60" s="82" t="s">
        <v>10</v>
      </c>
      <c r="B60" s="83" t="s">
        <v>65</v>
      </c>
      <c r="C60" s="83"/>
      <c r="D60" s="83"/>
      <c r="E60" s="83"/>
      <c r="F60" s="83"/>
      <c r="G60" s="83"/>
      <c r="H60" s="85" t="n">
        <v>0.015</v>
      </c>
      <c r="I60" s="207" t="n">
        <f aca="false">ROUND($I$41*H60,2)</f>
        <v>39.16</v>
      </c>
      <c r="K60" s="66"/>
    </row>
    <row r="61" customFormat="false" ht="15.75" hidden="false" customHeight="false" outlineLevel="0" collapsed="false">
      <c r="A61" s="82" t="s">
        <v>12</v>
      </c>
      <c r="B61" s="83" t="s">
        <v>66</v>
      </c>
      <c r="C61" s="83"/>
      <c r="D61" s="83"/>
      <c r="E61" s="83"/>
      <c r="F61" s="83"/>
      <c r="G61" s="83"/>
      <c r="H61" s="84" t="n">
        <v>0.01</v>
      </c>
      <c r="I61" s="207" t="n">
        <f aca="false">ROUND($I$41*H61,2)</f>
        <v>26.1</v>
      </c>
      <c r="K61" s="66"/>
    </row>
    <row r="62" customFormat="false" ht="15.75" hidden="false" customHeight="false" outlineLevel="0" collapsed="false">
      <c r="A62" s="82" t="s">
        <v>14</v>
      </c>
      <c r="B62" s="83" t="s">
        <v>67</v>
      </c>
      <c r="C62" s="83"/>
      <c r="D62" s="83"/>
      <c r="E62" s="83"/>
      <c r="F62" s="83"/>
      <c r="G62" s="83"/>
      <c r="H62" s="86" t="n">
        <v>0.002</v>
      </c>
      <c r="I62" s="207" t="n">
        <f aca="false">ROUND($I$41*H62,2)</f>
        <v>5.22</v>
      </c>
      <c r="K62" s="66"/>
    </row>
    <row r="63" customFormat="false" ht="15.75" hidden="false" customHeight="false" outlineLevel="0" collapsed="false">
      <c r="A63" s="82" t="s">
        <v>40</v>
      </c>
      <c r="B63" s="83" t="s">
        <v>68</v>
      </c>
      <c r="C63" s="83"/>
      <c r="D63" s="83"/>
      <c r="E63" s="83"/>
      <c r="F63" s="83"/>
      <c r="G63" s="83"/>
      <c r="H63" s="86" t="n">
        <v>0.025</v>
      </c>
      <c r="I63" s="207" t="n">
        <f aca="false">ROUND($I$41*H63,2)</f>
        <v>65.26</v>
      </c>
      <c r="K63" s="66"/>
    </row>
    <row r="64" customFormat="false" ht="15.75" hidden="false" customHeight="false" outlineLevel="0" collapsed="false">
      <c r="A64" s="82" t="s">
        <v>42</v>
      </c>
      <c r="B64" s="83" t="s">
        <v>69</v>
      </c>
      <c r="C64" s="83"/>
      <c r="D64" s="83"/>
      <c r="E64" s="83"/>
      <c r="F64" s="83"/>
      <c r="G64" s="83"/>
      <c r="H64" s="84" t="n">
        <v>0.08</v>
      </c>
      <c r="I64" s="207" t="n">
        <f aca="false">ROUND($I$41*H64,2)</f>
        <v>208.83</v>
      </c>
      <c r="K64" s="66"/>
    </row>
    <row r="65" customFormat="false" ht="15.75" hidden="false" customHeight="false" outlineLevel="0" collapsed="false">
      <c r="A65" s="82" t="s">
        <v>70</v>
      </c>
      <c r="B65" s="87" t="s">
        <v>71</v>
      </c>
      <c r="C65" s="87"/>
      <c r="D65" s="87"/>
      <c r="E65" s="87"/>
      <c r="F65" s="88" t="s">
        <v>72</v>
      </c>
      <c r="G65" s="89" t="s">
        <v>196</v>
      </c>
      <c r="H65" s="86" t="n">
        <v>0.015</v>
      </c>
      <c r="I65" s="207" t="n">
        <f aca="false">ROUND($I$41*H65,2)</f>
        <v>39.16</v>
      </c>
      <c r="K65" s="66"/>
    </row>
    <row r="66" customFormat="false" ht="15.75" hidden="false" customHeight="false" outlineLevel="0" collapsed="false">
      <c r="A66" s="82" t="s">
        <v>74</v>
      </c>
      <c r="B66" s="83" t="s">
        <v>75</v>
      </c>
      <c r="C66" s="83"/>
      <c r="D66" s="83"/>
      <c r="E66" s="83"/>
      <c r="F66" s="83"/>
      <c r="G66" s="83"/>
      <c r="H66" s="86" t="n">
        <v>0.006</v>
      </c>
      <c r="I66" s="207" t="n">
        <f aca="false">ROUND($I$41*H66,2)</f>
        <v>15.66</v>
      </c>
      <c r="K66" s="66"/>
    </row>
    <row r="67" customFormat="false" ht="15.75" hidden="false" customHeight="false" outlineLevel="0" collapsed="false">
      <c r="A67" s="90" t="s">
        <v>76</v>
      </c>
      <c r="B67" s="90"/>
      <c r="C67" s="90"/>
      <c r="D67" s="90"/>
      <c r="E67" s="90"/>
      <c r="F67" s="90"/>
      <c r="G67" s="90"/>
      <c r="H67" s="91" t="n">
        <f aca="false">SUM(H59:H66)</f>
        <v>0.353</v>
      </c>
      <c r="I67" s="219" t="n">
        <f aca="false">SUM(I59:I66)</f>
        <v>921.46</v>
      </c>
      <c r="K67" s="66"/>
    </row>
    <row r="68" customFormat="false" ht="15.75" hidden="false" customHeight="false" outlineLevel="0" collapsed="false">
      <c r="A68" s="93" t="s">
        <v>77</v>
      </c>
      <c r="B68" s="93"/>
      <c r="C68" s="93"/>
      <c r="D68" s="93"/>
      <c r="E68" s="93"/>
      <c r="F68" s="93"/>
      <c r="G68" s="93"/>
      <c r="H68" s="93"/>
      <c r="I68" s="93"/>
    </row>
    <row r="69" customFormat="false" ht="15.75" hidden="false" customHeight="false" outlineLevel="0" collapsed="false">
      <c r="A69" s="94" t="s">
        <v>78</v>
      </c>
      <c r="B69" s="94"/>
      <c r="C69" s="94"/>
      <c r="D69" s="94"/>
      <c r="E69" s="94"/>
      <c r="F69" s="94"/>
      <c r="G69" s="94"/>
      <c r="H69" s="94"/>
      <c r="I69" s="94"/>
    </row>
    <row r="70" customFormat="false" ht="15.75" hidden="false" customHeight="false" outlineLevel="0" collapsed="false">
      <c r="A70" s="79" t="s">
        <v>79</v>
      </c>
      <c r="B70" s="79"/>
      <c r="C70" s="79"/>
      <c r="D70" s="79"/>
      <c r="E70" s="79"/>
      <c r="F70" s="79"/>
      <c r="G70" s="79"/>
      <c r="H70" s="79"/>
      <c r="I70" s="79"/>
    </row>
    <row r="71" customFormat="false" ht="15.75" hidden="false" customHeight="false" outlineLevel="0" collapsed="false">
      <c r="A71" s="62" t="s">
        <v>80</v>
      </c>
      <c r="B71" s="81" t="s">
        <v>81</v>
      </c>
      <c r="C71" s="81"/>
      <c r="D71" s="81"/>
      <c r="E71" s="81"/>
      <c r="F71" s="81"/>
      <c r="G71" s="81"/>
      <c r="H71" s="81"/>
      <c r="I71" s="204" t="s">
        <v>35</v>
      </c>
    </row>
    <row r="72" customFormat="false" ht="34.5" hidden="false" customHeight="true" outlineLevel="0" collapsed="false">
      <c r="A72" s="17" t="s">
        <v>8</v>
      </c>
      <c r="B72" s="95" t="s">
        <v>82</v>
      </c>
      <c r="C72" s="95"/>
      <c r="D72" s="95"/>
      <c r="E72" s="95"/>
      <c r="F72" s="95"/>
      <c r="G72" s="95"/>
      <c r="H72" s="95"/>
      <c r="I72" s="220" t="n">
        <f aca="false">ROUND(I41/12,2)</f>
        <v>217.53</v>
      </c>
      <c r="K72" s="66"/>
    </row>
    <row r="73" customFormat="false" ht="15.75" hidden="false" customHeight="false" outlineLevel="0" collapsed="false">
      <c r="A73" s="97" t="s">
        <v>83</v>
      </c>
      <c r="B73" s="97"/>
      <c r="C73" s="97"/>
      <c r="D73" s="97"/>
      <c r="E73" s="97"/>
      <c r="F73" s="97"/>
      <c r="G73" s="97"/>
      <c r="H73" s="97"/>
      <c r="I73" s="207" t="n">
        <f aca="false">SUM(I72:I72)</f>
        <v>217.53</v>
      </c>
      <c r="K73" s="66"/>
    </row>
    <row r="74" customFormat="false" ht="15.75" hidden="false" customHeight="false" outlineLevel="0" collapsed="false">
      <c r="A74" s="17" t="s">
        <v>10</v>
      </c>
      <c r="B74" s="83" t="s">
        <v>84</v>
      </c>
      <c r="C74" s="83"/>
      <c r="D74" s="83"/>
      <c r="E74" s="83"/>
      <c r="F74" s="83"/>
      <c r="G74" s="83"/>
      <c r="H74" s="83"/>
      <c r="I74" s="207" t="n">
        <f aca="false">ROUND(I73*H67,2)</f>
        <v>76.79</v>
      </c>
      <c r="K74" s="66"/>
    </row>
    <row r="75" customFormat="false" ht="15.75" hidden="false" customHeight="false" outlineLevel="0" collapsed="false">
      <c r="A75" s="60" t="s">
        <v>76</v>
      </c>
      <c r="B75" s="60"/>
      <c r="C75" s="60"/>
      <c r="D75" s="60"/>
      <c r="E75" s="60"/>
      <c r="F75" s="60"/>
      <c r="G75" s="60"/>
      <c r="H75" s="60"/>
      <c r="I75" s="210" t="n">
        <f aca="false">SUM(I73:I74)</f>
        <v>294.32</v>
      </c>
      <c r="K75" s="66"/>
    </row>
    <row r="76" customFormat="false" ht="15.75" hidden="false" customHeight="false" outlineLevel="0" collapsed="false">
      <c r="A76" s="79" t="s">
        <v>85</v>
      </c>
      <c r="B76" s="79"/>
      <c r="C76" s="79"/>
      <c r="D76" s="79"/>
      <c r="E76" s="79"/>
      <c r="F76" s="79"/>
      <c r="G76" s="79"/>
      <c r="H76" s="79"/>
      <c r="I76" s="79"/>
    </row>
    <row r="77" customFormat="false" ht="15.75" hidden="false" customHeight="false" outlineLevel="0" collapsed="false">
      <c r="A77" s="62" t="s">
        <v>86</v>
      </c>
      <c r="B77" s="81" t="s">
        <v>87</v>
      </c>
      <c r="C77" s="81"/>
      <c r="D77" s="81"/>
      <c r="E77" s="81"/>
      <c r="F77" s="81"/>
      <c r="G77" s="81"/>
      <c r="H77" s="81"/>
      <c r="I77" s="204" t="s">
        <v>35</v>
      </c>
    </row>
    <row r="78" customFormat="false" ht="15.75" hidden="false" customHeight="false" outlineLevel="0" collapsed="false">
      <c r="A78" s="17" t="s">
        <v>8</v>
      </c>
      <c r="B78" s="52" t="s">
        <v>88</v>
      </c>
      <c r="C78" s="52"/>
      <c r="D78" s="52"/>
      <c r="E78" s="52"/>
      <c r="F78" s="52"/>
      <c r="G78" s="52"/>
      <c r="H78" s="52"/>
      <c r="I78" s="75" t="n">
        <f aca="false">ROUND((((I41+I41/3)*(4/12))/12)*0.02,2)</f>
        <v>1.93</v>
      </c>
    </row>
    <row r="79" customFormat="false" ht="15.75" hidden="false" customHeight="false" outlineLevel="0" collapsed="false">
      <c r="A79" s="17" t="s">
        <v>10</v>
      </c>
      <c r="B79" s="83" t="s">
        <v>89</v>
      </c>
      <c r="C79" s="83"/>
      <c r="D79" s="83"/>
      <c r="E79" s="83"/>
      <c r="F79" s="83"/>
      <c r="G79" s="83"/>
      <c r="H79" s="83"/>
      <c r="I79" s="75" t="n">
        <f aca="false">ROUND(I78*H67,2)</f>
        <v>0.68</v>
      </c>
    </row>
    <row r="80" customFormat="false" ht="15.75" hidden="false" customHeight="false" outlineLevel="0" collapsed="false">
      <c r="A80" s="60" t="s">
        <v>76</v>
      </c>
      <c r="B80" s="60"/>
      <c r="C80" s="60"/>
      <c r="D80" s="60"/>
      <c r="E80" s="60"/>
      <c r="F80" s="60"/>
      <c r="G80" s="60"/>
      <c r="H80" s="60"/>
      <c r="I80" s="210" t="n">
        <f aca="false">SUM(I78:I79)</f>
        <v>2.61</v>
      </c>
    </row>
    <row r="81" customFormat="false" ht="15.75" hidden="false" customHeight="false" outlineLevel="0" collapsed="false">
      <c r="A81" s="79" t="s">
        <v>90</v>
      </c>
      <c r="B81" s="79"/>
      <c r="C81" s="79"/>
      <c r="D81" s="79"/>
      <c r="E81" s="79"/>
      <c r="F81" s="79"/>
      <c r="G81" s="79"/>
      <c r="H81" s="79"/>
      <c r="I81" s="79"/>
    </row>
    <row r="82" customFormat="false" ht="15.75" hidden="false" customHeight="false" outlineLevel="0" collapsed="false">
      <c r="A82" s="62" t="s">
        <v>91</v>
      </c>
      <c r="B82" s="81" t="s">
        <v>92</v>
      </c>
      <c r="C82" s="81"/>
      <c r="D82" s="81"/>
      <c r="E82" s="81"/>
      <c r="F82" s="81"/>
      <c r="G82" s="81"/>
      <c r="H82" s="81"/>
      <c r="I82" s="204" t="s">
        <v>35</v>
      </c>
    </row>
    <row r="83" customFormat="false" ht="25.5" hidden="false" customHeight="true" outlineLevel="0" collapsed="false">
      <c r="A83" s="17" t="s">
        <v>8</v>
      </c>
      <c r="B83" s="99" t="s">
        <v>93</v>
      </c>
      <c r="C83" s="99"/>
      <c r="D83" s="99"/>
      <c r="E83" s="99"/>
      <c r="F83" s="99"/>
      <c r="G83" s="99"/>
      <c r="H83" s="99"/>
      <c r="I83" s="207" t="n">
        <f aca="false">ROUND((I41/12)*(30/30)*0.05,2)</f>
        <v>10.88</v>
      </c>
    </row>
    <row r="84" customFormat="false" ht="15.75" hidden="false" customHeight="true" outlineLevel="0" collapsed="false">
      <c r="A84" s="17" t="s">
        <v>10</v>
      </c>
      <c r="B84" s="83" t="s">
        <v>94</v>
      </c>
      <c r="C84" s="83"/>
      <c r="D84" s="83"/>
      <c r="E84" s="83"/>
      <c r="F84" s="83"/>
      <c r="G84" s="83"/>
      <c r="H84" s="83"/>
      <c r="I84" s="207" t="n">
        <f aca="false">ROUND(I83*H64,2)</f>
        <v>0.87</v>
      </c>
    </row>
    <row r="85" customFormat="false" ht="49.5" hidden="false" customHeight="true" outlineLevel="0" collapsed="false">
      <c r="A85" s="17" t="s">
        <v>12</v>
      </c>
      <c r="B85" s="95" t="s">
        <v>95</v>
      </c>
      <c r="C85" s="95"/>
      <c r="D85" s="95"/>
      <c r="E85" s="95"/>
      <c r="F85" s="95"/>
      <c r="G85" s="95"/>
      <c r="H85" s="95"/>
      <c r="I85" s="220" t="n">
        <f aca="false">ROUND(0.0024*I41,2)</f>
        <v>6.26</v>
      </c>
      <c r="K85" s="66"/>
    </row>
    <row r="86" customFormat="false" ht="30.75" hidden="false" customHeight="true" outlineLevel="0" collapsed="false">
      <c r="A86" s="100" t="s">
        <v>14</v>
      </c>
      <c r="B86" s="99" t="s">
        <v>96</v>
      </c>
      <c r="C86" s="99"/>
      <c r="D86" s="99"/>
      <c r="E86" s="99"/>
      <c r="F86" s="99"/>
      <c r="G86" s="99"/>
      <c r="H86" s="99"/>
      <c r="I86" s="273" t="n">
        <f aca="false">ROUND((((I41/2)/30)*7)/12,2)/2</f>
        <v>12.69</v>
      </c>
      <c r="N86" s="101"/>
    </row>
    <row r="87" customFormat="false" ht="18" hidden="false" customHeight="true" outlineLevel="0" collapsed="false">
      <c r="A87" s="17" t="s">
        <v>40</v>
      </c>
      <c r="B87" s="83" t="s">
        <v>97</v>
      </c>
      <c r="C87" s="83"/>
      <c r="D87" s="83"/>
      <c r="E87" s="83"/>
      <c r="F87" s="83"/>
      <c r="G87" s="83"/>
      <c r="H87" s="83"/>
      <c r="I87" s="207" t="n">
        <f aca="false">ROUND(I86*H67,2)</f>
        <v>4.48</v>
      </c>
      <c r="J87" s="13"/>
      <c r="K87" s="13"/>
      <c r="L87" s="102"/>
    </row>
    <row r="88" customFormat="false" ht="48.75" hidden="false" customHeight="true" outlineLevel="0" collapsed="false">
      <c r="A88" s="17" t="s">
        <v>42</v>
      </c>
      <c r="B88" s="95" t="s">
        <v>98</v>
      </c>
      <c r="C88" s="95"/>
      <c r="D88" s="95"/>
      <c r="E88" s="95"/>
      <c r="F88" s="95"/>
      <c r="G88" s="95"/>
      <c r="H88" s="95"/>
      <c r="I88" s="220" t="n">
        <f aca="false">ROUND(0.0476*I41,2)</f>
        <v>124.25</v>
      </c>
      <c r="J88" s="13"/>
      <c r="K88" s="66"/>
      <c r="L88" s="13"/>
    </row>
    <row r="89" customFormat="false" ht="20.25" hidden="false" customHeight="true" outlineLevel="0" collapsed="false">
      <c r="A89" s="60" t="s">
        <v>76</v>
      </c>
      <c r="B89" s="60"/>
      <c r="C89" s="60"/>
      <c r="D89" s="60"/>
      <c r="E89" s="60"/>
      <c r="F89" s="60"/>
      <c r="G89" s="60"/>
      <c r="H89" s="60"/>
      <c r="I89" s="210" t="n">
        <f aca="false">SUM(I83:I88)</f>
        <v>159.43</v>
      </c>
    </row>
    <row r="90" customFormat="false" ht="20.25" hidden="false" customHeight="true" outlineLevel="0" collapsed="false">
      <c r="A90" s="79" t="s">
        <v>99</v>
      </c>
      <c r="B90" s="79"/>
      <c r="C90" s="79"/>
      <c r="D90" s="79"/>
      <c r="E90" s="79"/>
      <c r="F90" s="79"/>
      <c r="G90" s="79"/>
      <c r="H90" s="79"/>
      <c r="I90" s="79"/>
    </row>
    <row r="91" customFormat="false" ht="15.75" hidden="false" customHeight="false" outlineLevel="0" collapsed="false">
      <c r="A91" s="62" t="s">
        <v>100</v>
      </c>
      <c r="B91" s="81" t="s">
        <v>101</v>
      </c>
      <c r="C91" s="81"/>
      <c r="D91" s="81"/>
      <c r="E91" s="81"/>
      <c r="F91" s="81"/>
      <c r="G91" s="81"/>
      <c r="H91" s="81"/>
      <c r="I91" s="204" t="s">
        <v>35</v>
      </c>
    </row>
    <row r="92" customFormat="false" ht="49.5" hidden="false" customHeight="true" outlineLevel="0" collapsed="false">
      <c r="A92" s="17" t="s">
        <v>8</v>
      </c>
      <c r="B92" s="95" t="s">
        <v>102</v>
      </c>
      <c r="C92" s="95"/>
      <c r="D92" s="95"/>
      <c r="E92" s="95"/>
      <c r="F92" s="95"/>
      <c r="G92" s="95"/>
      <c r="H92" s="95"/>
      <c r="I92" s="220" t="n">
        <f aca="false">ROUND(0.121*I41,2)</f>
        <v>315.85</v>
      </c>
      <c r="K92" s="66"/>
    </row>
    <row r="93" customFormat="false" ht="17.25" hidden="false" customHeight="true" outlineLevel="0" collapsed="false">
      <c r="A93" s="17" t="s">
        <v>10</v>
      </c>
      <c r="B93" s="52" t="s">
        <v>103</v>
      </c>
      <c r="C93" s="52"/>
      <c r="D93" s="52"/>
      <c r="E93" s="52"/>
      <c r="F93" s="52"/>
      <c r="G93" s="52"/>
      <c r="H93" s="52"/>
      <c r="I93" s="207" t="n">
        <f aca="false">ROUND(((I41/30)*5)/12,2)</f>
        <v>36.25</v>
      </c>
    </row>
    <row r="94" customFormat="false" ht="16.5" hidden="false" customHeight="true" outlineLevel="0" collapsed="false">
      <c r="A94" s="17" t="s">
        <v>12</v>
      </c>
      <c r="B94" s="52" t="s">
        <v>104</v>
      </c>
      <c r="C94" s="52"/>
      <c r="D94" s="52"/>
      <c r="E94" s="52"/>
      <c r="F94" s="52"/>
      <c r="G94" s="52"/>
      <c r="H94" s="52"/>
      <c r="I94" s="207" t="n">
        <f aca="false">ROUND((((I41/30)*5)/12)*0.015,2)</f>
        <v>0.54</v>
      </c>
    </row>
    <row r="95" customFormat="false" ht="17.25" hidden="false" customHeight="true" outlineLevel="0" collapsed="false">
      <c r="A95" s="17" t="s">
        <v>14</v>
      </c>
      <c r="B95" s="52" t="s">
        <v>105</v>
      </c>
      <c r="C95" s="52"/>
      <c r="D95" s="52"/>
      <c r="E95" s="52"/>
      <c r="F95" s="52"/>
      <c r="G95" s="52"/>
      <c r="H95" s="52"/>
      <c r="I95" s="207" t="n">
        <f aca="false">ROUND(((I41/30)*2.96)/12,2)</f>
        <v>21.46</v>
      </c>
    </row>
    <row r="96" customFormat="false" ht="16.5" hidden="false" customHeight="true" outlineLevel="0" collapsed="false">
      <c r="A96" s="17" t="s">
        <v>40</v>
      </c>
      <c r="B96" s="52" t="s">
        <v>106</v>
      </c>
      <c r="C96" s="52"/>
      <c r="D96" s="52"/>
      <c r="E96" s="52"/>
      <c r="F96" s="52"/>
      <c r="G96" s="52"/>
      <c r="H96" s="52"/>
      <c r="I96" s="207" t="n">
        <f aca="false">ROUND((((I41/30)*15)/12)*0.0078,2)</f>
        <v>0.85</v>
      </c>
    </row>
    <row r="97" customFormat="false" ht="15.75" hidden="false" customHeight="false" outlineLevel="0" collapsed="false">
      <c r="A97" s="97" t="s">
        <v>83</v>
      </c>
      <c r="B97" s="97"/>
      <c r="C97" s="97"/>
      <c r="D97" s="97"/>
      <c r="E97" s="97"/>
      <c r="F97" s="97"/>
      <c r="G97" s="97"/>
      <c r="H97" s="97"/>
      <c r="I97" s="223" t="n">
        <f aca="false">SUM(I92:I96)</f>
        <v>374.95</v>
      </c>
      <c r="K97" s="66"/>
    </row>
    <row r="98" customFormat="false" ht="15.75" hidden="false" customHeight="false" outlineLevel="0" collapsed="false">
      <c r="A98" s="17" t="s">
        <v>70</v>
      </c>
      <c r="B98" s="83" t="s">
        <v>107</v>
      </c>
      <c r="C98" s="83"/>
      <c r="D98" s="83"/>
      <c r="E98" s="83"/>
      <c r="F98" s="83"/>
      <c r="G98" s="83"/>
      <c r="H98" s="83"/>
      <c r="I98" s="224" t="n">
        <f aca="false">ROUND(I97*H67,2)</f>
        <v>132.36</v>
      </c>
      <c r="K98" s="66"/>
    </row>
    <row r="99" customFormat="false" ht="15.75" hidden="false" customHeight="false" outlineLevel="0" collapsed="false">
      <c r="A99" s="60" t="s">
        <v>76</v>
      </c>
      <c r="B99" s="60"/>
      <c r="C99" s="60"/>
      <c r="D99" s="60"/>
      <c r="E99" s="60"/>
      <c r="F99" s="60"/>
      <c r="G99" s="60"/>
      <c r="H99" s="60"/>
      <c r="I99" s="210" t="n">
        <f aca="false">SUM(I97+I98)</f>
        <v>507.31</v>
      </c>
      <c r="K99" s="66"/>
    </row>
    <row r="100" customFormat="false" ht="15.75" hidden="false" customHeight="false" outlineLevel="0" collapsed="false">
      <c r="A100" s="104" t="s">
        <v>108</v>
      </c>
      <c r="B100" s="104"/>
      <c r="C100" s="104"/>
      <c r="D100" s="104"/>
      <c r="E100" s="104"/>
      <c r="F100" s="104"/>
      <c r="G100" s="104"/>
      <c r="H100" s="104"/>
      <c r="I100" s="104"/>
    </row>
    <row r="101" customFormat="false" ht="15.75" hidden="false" customHeight="false" outlineLevel="0" collapsed="false">
      <c r="A101" s="62" t="n">
        <v>4</v>
      </c>
      <c r="B101" s="81" t="s">
        <v>109</v>
      </c>
      <c r="C101" s="81"/>
      <c r="D101" s="81"/>
      <c r="E101" s="81"/>
      <c r="F101" s="81"/>
      <c r="G101" s="81"/>
      <c r="H101" s="81"/>
      <c r="I101" s="204" t="s">
        <v>35</v>
      </c>
    </row>
    <row r="102" customFormat="false" ht="15.75" hidden="false" customHeight="false" outlineLevel="0" collapsed="false">
      <c r="A102" s="17" t="s">
        <v>61</v>
      </c>
      <c r="B102" s="83" t="s">
        <v>62</v>
      </c>
      <c r="C102" s="83"/>
      <c r="D102" s="83"/>
      <c r="E102" s="83"/>
      <c r="F102" s="83"/>
      <c r="G102" s="83"/>
      <c r="H102" s="83"/>
      <c r="I102" s="75" t="n">
        <f aca="false">I67</f>
        <v>921.46</v>
      </c>
    </row>
    <row r="103" customFormat="false" ht="15.75" hidden="false" customHeight="false" outlineLevel="0" collapsed="false">
      <c r="A103" s="17" t="s">
        <v>80</v>
      </c>
      <c r="B103" s="83" t="s">
        <v>110</v>
      </c>
      <c r="C103" s="83"/>
      <c r="D103" s="83"/>
      <c r="E103" s="83"/>
      <c r="F103" s="83"/>
      <c r="G103" s="83"/>
      <c r="H103" s="83"/>
      <c r="I103" s="75" t="n">
        <f aca="false">I75</f>
        <v>294.32</v>
      </c>
    </row>
    <row r="104" customFormat="false" ht="15.75" hidden="false" customHeight="false" outlineLevel="0" collapsed="false">
      <c r="A104" s="17" t="s">
        <v>86</v>
      </c>
      <c r="B104" s="83" t="s">
        <v>87</v>
      </c>
      <c r="C104" s="83"/>
      <c r="D104" s="83"/>
      <c r="E104" s="83"/>
      <c r="F104" s="83"/>
      <c r="G104" s="83"/>
      <c r="H104" s="83"/>
      <c r="I104" s="75" t="n">
        <f aca="false">I80</f>
        <v>2.61</v>
      </c>
    </row>
    <row r="105" customFormat="false" ht="15.75" hidden="false" customHeight="false" outlineLevel="0" collapsed="false">
      <c r="A105" s="17" t="s">
        <v>91</v>
      </c>
      <c r="B105" s="83" t="s">
        <v>111</v>
      </c>
      <c r="C105" s="83"/>
      <c r="D105" s="83"/>
      <c r="E105" s="83"/>
      <c r="F105" s="83"/>
      <c r="G105" s="83"/>
      <c r="H105" s="83"/>
      <c r="I105" s="75" t="n">
        <f aca="false">I89</f>
        <v>159.43</v>
      </c>
    </row>
    <row r="106" customFormat="false" ht="15.75" hidden="false" customHeight="false" outlineLevel="0" collapsed="false">
      <c r="A106" s="17" t="s">
        <v>100</v>
      </c>
      <c r="B106" s="83" t="s">
        <v>112</v>
      </c>
      <c r="C106" s="83"/>
      <c r="D106" s="83"/>
      <c r="E106" s="83"/>
      <c r="F106" s="83"/>
      <c r="G106" s="83"/>
      <c r="H106" s="83"/>
      <c r="I106" s="75" t="n">
        <f aca="false">I99</f>
        <v>507.31</v>
      </c>
    </row>
    <row r="107" customFormat="false" ht="15.75" hidden="false" customHeight="false" outlineLevel="0" collapsed="false">
      <c r="A107" s="60" t="s">
        <v>76</v>
      </c>
      <c r="B107" s="60"/>
      <c r="C107" s="60"/>
      <c r="D107" s="60"/>
      <c r="E107" s="60"/>
      <c r="F107" s="60"/>
      <c r="G107" s="60"/>
      <c r="H107" s="60"/>
      <c r="I107" s="210" t="n">
        <f aca="false">SUM(I102:I106)</f>
        <v>1885.13</v>
      </c>
      <c r="K107" s="106"/>
    </row>
    <row r="108" customFormat="false" ht="16.5" hidden="false" customHeight="true" outlineLevel="0" collapsed="false">
      <c r="A108" s="107" t="s">
        <v>113</v>
      </c>
      <c r="B108" s="107"/>
      <c r="C108" s="107"/>
      <c r="D108" s="107"/>
      <c r="E108" s="107"/>
      <c r="F108" s="107"/>
      <c r="G108" s="107"/>
      <c r="H108" s="107"/>
      <c r="I108" s="107"/>
    </row>
    <row r="109" customFormat="false" ht="15.75" hidden="false" customHeight="false" outlineLevel="0" collapsed="false">
      <c r="A109" s="62" t="n">
        <v>5</v>
      </c>
      <c r="B109" s="63" t="s">
        <v>114</v>
      </c>
      <c r="C109" s="63"/>
      <c r="D109" s="63"/>
      <c r="E109" s="63"/>
      <c r="F109" s="63"/>
      <c r="G109" s="63"/>
      <c r="H109" s="108" t="s">
        <v>63</v>
      </c>
      <c r="I109" s="204" t="s">
        <v>35</v>
      </c>
    </row>
    <row r="110" customFormat="false" ht="48" hidden="false" customHeight="true" outlineLevel="0" collapsed="false">
      <c r="A110" s="109" t="s">
        <v>115</v>
      </c>
      <c r="B110" s="109"/>
      <c r="C110" s="109"/>
      <c r="D110" s="109"/>
      <c r="E110" s="109"/>
      <c r="F110" s="109"/>
      <c r="G110" s="109"/>
      <c r="H110" s="110" t="n">
        <v>0</v>
      </c>
      <c r="I110" s="226" t="n">
        <f aca="false">(I41+I50+I55+I107)</f>
        <v>5411.304375</v>
      </c>
    </row>
    <row r="111" customFormat="false" ht="15.75" hidden="false" customHeight="false" outlineLevel="0" collapsed="false">
      <c r="A111" s="17" t="s">
        <v>8</v>
      </c>
      <c r="B111" s="83" t="s">
        <v>116</v>
      </c>
      <c r="C111" s="83"/>
      <c r="D111" s="83"/>
      <c r="E111" s="83"/>
      <c r="F111" s="83"/>
      <c r="G111" s="83"/>
      <c r="H111" s="112" t="n">
        <f aca="false">'São Borja 8.1'!H112</f>
        <v>0.1207</v>
      </c>
      <c r="I111" s="207" t="n">
        <f aca="false">ROUND(I110*H111,2)</f>
        <v>653.14</v>
      </c>
      <c r="J111" s="113"/>
    </row>
    <row r="112" customFormat="false" ht="51.75" hidden="false" customHeight="true" outlineLevel="0" collapsed="false">
      <c r="A112" s="109" t="s">
        <v>117</v>
      </c>
      <c r="B112" s="109"/>
      <c r="C112" s="109"/>
      <c r="D112" s="109"/>
      <c r="E112" s="109"/>
      <c r="F112" s="109"/>
      <c r="G112" s="109"/>
      <c r="H112" s="114" t="n">
        <v>0</v>
      </c>
      <c r="I112" s="228" t="n">
        <f aca="false">I110+I111</f>
        <v>6064.444375</v>
      </c>
      <c r="J112" s="113"/>
    </row>
    <row r="113" customFormat="false" ht="15.75" hidden="false" customHeight="false" outlineLevel="0" collapsed="false">
      <c r="A113" s="17" t="s">
        <v>10</v>
      </c>
      <c r="B113" s="83" t="s">
        <v>118</v>
      </c>
      <c r="C113" s="83"/>
      <c r="D113" s="83"/>
      <c r="E113" s="83"/>
      <c r="F113" s="83"/>
      <c r="G113" s="83"/>
      <c r="H113" s="112" t="n">
        <f aca="false">'São Borja 8.1'!H114</f>
        <v>0.0818</v>
      </c>
      <c r="I113" s="207" t="n">
        <f aca="false">ROUND(I112*H113,2)</f>
        <v>496.07</v>
      </c>
      <c r="J113" s="116"/>
    </row>
    <row r="114" customFormat="false" ht="49.5" hidden="false" customHeight="true" outlineLevel="0" collapsed="false">
      <c r="A114" s="109" t="s">
        <v>119</v>
      </c>
      <c r="B114" s="109"/>
      <c r="C114" s="109"/>
      <c r="D114" s="109"/>
      <c r="E114" s="109"/>
      <c r="F114" s="109"/>
      <c r="G114" s="109"/>
      <c r="H114" s="117" t="n">
        <v>0</v>
      </c>
      <c r="I114" s="231" t="n">
        <f aca="false">I112+I113</f>
        <v>6560.514375</v>
      </c>
      <c r="J114" s="116"/>
    </row>
    <row r="115" customFormat="false" ht="15.75" hidden="false" customHeight="false" outlineLevel="0" collapsed="false">
      <c r="A115" s="17" t="s">
        <v>12</v>
      </c>
      <c r="B115" s="83" t="s">
        <v>120</v>
      </c>
      <c r="C115" s="83"/>
      <c r="D115" s="83"/>
      <c r="E115" s="83"/>
      <c r="F115" s="83"/>
      <c r="G115" s="83"/>
      <c r="H115" s="119" t="s">
        <v>198</v>
      </c>
      <c r="I115" s="232" t="s">
        <v>198</v>
      </c>
      <c r="J115" s="116"/>
    </row>
    <row r="116" customFormat="false" ht="15.75" hidden="false" customHeight="false" outlineLevel="0" collapsed="false">
      <c r="A116" s="17"/>
      <c r="B116" s="83" t="s">
        <v>121</v>
      </c>
      <c r="C116" s="83"/>
      <c r="D116" s="83"/>
      <c r="E116" s="83"/>
      <c r="F116" s="83"/>
      <c r="G116" s="83"/>
      <c r="H116" s="119" t="s">
        <v>198</v>
      </c>
      <c r="I116" s="232" t="s">
        <v>198</v>
      </c>
    </row>
    <row r="117" customFormat="false" ht="30" hidden="false" customHeight="true" outlineLevel="0" collapsed="false">
      <c r="A117" s="17"/>
      <c r="B117" s="67" t="s">
        <v>199</v>
      </c>
      <c r="C117" s="67"/>
      <c r="D117" s="67"/>
      <c r="E117" s="67"/>
      <c r="F117" s="67"/>
      <c r="G117" s="67"/>
      <c r="H117" s="121" t="n">
        <v>0.03</v>
      </c>
      <c r="I117" s="207" t="n">
        <f aca="false">ROUND(($I$114/(1-H124))*H117,2)</f>
        <v>215.45</v>
      </c>
    </row>
    <row r="118" customFormat="false" ht="31.5" hidden="false" customHeight="true" outlineLevel="0" collapsed="false">
      <c r="A118" s="17"/>
      <c r="B118" s="67" t="s">
        <v>200</v>
      </c>
      <c r="C118" s="67"/>
      <c r="D118" s="67"/>
      <c r="E118" s="67"/>
      <c r="F118" s="67"/>
      <c r="G118" s="67"/>
      <c r="H118" s="121" t="n">
        <v>0.0065</v>
      </c>
      <c r="I118" s="207" t="n">
        <f aca="false">ROUND(($I$114/(1-H124))*H118,2)</f>
        <v>46.68</v>
      </c>
      <c r="K118" s="66"/>
    </row>
    <row r="119" customFormat="false" ht="31.5" hidden="false" customHeight="true" outlineLevel="0" collapsed="false">
      <c r="A119" s="17"/>
      <c r="B119" s="122" t="s">
        <v>124</v>
      </c>
      <c r="C119" s="122"/>
      <c r="D119" s="122"/>
      <c r="E119" s="122"/>
      <c r="F119" s="122"/>
      <c r="G119" s="122"/>
      <c r="H119" s="121" t="s">
        <v>198</v>
      </c>
      <c r="I119" s="232" t="s">
        <v>198</v>
      </c>
      <c r="K119" s="66"/>
    </row>
    <row r="120" customFormat="false" ht="15.75" hidden="false" customHeight="false" outlineLevel="0" collapsed="false">
      <c r="A120" s="17"/>
      <c r="B120" s="83" t="s">
        <v>125</v>
      </c>
      <c r="C120" s="83"/>
      <c r="D120" s="83"/>
      <c r="E120" s="83"/>
      <c r="F120" s="83"/>
      <c r="G120" s="83"/>
      <c r="H120" s="119" t="s">
        <v>198</v>
      </c>
      <c r="I120" s="232" t="s">
        <v>198</v>
      </c>
    </row>
    <row r="121" customFormat="false" ht="15.75" hidden="false" customHeight="false" outlineLevel="0" collapsed="false">
      <c r="A121" s="17"/>
      <c r="B121" s="83" t="s">
        <v>126</v>
      </c>
      <c r="C121" s="83"/>
      <c r="D121" s="83"/>
      <c r="E121" s="83"/>
      <c r="F121" s="83"/>
      <c r="G121" s="83"/>
      <c r="H121" s="119" t="s">
        <v>198</v>
      </c>
      <c r="I121" s="232" t="s">
        <v>198</v>
      </c>
      <c r="K121" s="66"/>
    </row>
    <row r="122" customFormat="false" ht="15.75" hidden="false" customHeight="false" outlineLevel="0" collapsed="false">
      <c r="A122" s="17"/>
      <c r="B122" s="52" t="s">
        <v>292</v>
      </c>
      <c r="C122" s="52"/>
      <c r="D122" s="52"/>
      <c r="E122" s="52"/>
      <c r="F122" s="52"/>
      <c r="G122" s="52"/>
      <c r="H122" s="124" t="n">
        <v>0.05</v>
      </c>
      <c r="I122" s="207" t="n">
        <f aca="false">ROUND(($I$114/(1-H124))*H122,2)</f>
        <v>359.09</v>
      </c>
    </row>
    <row r="123" customFormat="false" ht="15.75" hidden="false" customHeight="false" outlineLevel="0" collapsed="false">
      <c r="A123" s="125" t="s">
        <v>76</v>
      </c>
      <c r="B123" s="125"/>
      <c r="C123" s="125"/>
      <c r="D123" s="125"/>
      <c r="E123" s="125"/>
      <c r="F123" s="125"/>
      <c r="G123" s="125"/>
      <c r="H123" s="125"/>
      <c r="I123" s="234" t="n">
        <f aca="false">I111+I113+I117+I118+I122</f>
        <v>1770.43</v>
      </c>
    </row>
    <row r="124" customFormat="false" ht="15.75" hidden="false" customHeight="false" outlineLevel="0" collapsed="false">
      <c r="A124" s="127" t="s">
        <v>128</v>
      </c>
      <c r="B124" s="127"/>
      <c r="C124" s="127"/>
      <c r="D124" s="127"/>
      <c r="E124" s="127"/>
      <c r="F124" s="127"/>
      <c r="G124" s="127"/>
      <c r="H124" s="128" t="n">
        <f aca="false">SUM(H117:H122)</f>
        <v>0.0865</v>
      </c>
      <c r="I124" s="235" t="n">
        <f aca="false">SUM(I117+I118+I122)</f>
        <v>621.22</v>
      </c>
    </row>
    <row r="125" customFormat="false" ht="15.75" hidden="false" customHeight="false" outlineLevel="0" collapsed="false">
      <c r="A125" s="130" t="s">
        <v>129</v>
      </c>
      <c r="B125" s="130"/>
      <c r="C125" s="293" t="s">
        <v>130</v>
      </c>
      <c r="D125" s="293"/>
      <c r="E125" s="293"/>
      <c r="F125" s="293"/>
      <c r="G125" s="293"/>
      <c r="H125" s="293"/>
      <c r="I125" s="293"/>
    </row>
    <row r="126" customFormat="false" ht="15" hidden="false" customHeight="false" outlineLevel="0" collapsed="false">
      <c r="A126" s="130"/>
      <c r="B126" s="130"/>
      <c r="C126" s="294" t="s">
        <v>131</v>
      </c>
      <c r="D126" s="294"/>
      <c r="E126" s="294"/>
      <c r="F126" s="294"/>
      <c r="G126" s="294"/>
      <c r="H126" s="294"/>
      <c r="I126" s="294"/>
    </row>
    <row r="127" customFormat="false" ht="15.75" hidden="false" customHeight="false" outlineLevel="0" collapsed="false">
      <c r="A127" s="133" t="s">
        <v>132</v>
      </c>
      <c r="B127" s="133"/>
      <c r="C127" s="133"/>
      <c r="D127" s="133"/>
      <c r="E127" s="133"/>
      <c r="F127" s="133"/>
      <c r="G127" s="133"/>
      <c r="H127" s="133"/>
      <c r="I127" s="133"/>
    </row>
    <row r="128" customFormat="false" ht="15.75" hidden="false" customHeight="false" outlineLevel="0" collapsed="false">
      <c r="A128" s="94" t="s">
        <v>133</v>
      </c>
      <c r="B128" s="94"/>
      <c r="C128" s="94"/>
      <c r="D128" s="94"/>
      <c r="E128" s="94"/>
      <c r="F128" s="94"/>
      <c r="G128" s="94"/>
      <c r="H128" s="94"/>
      <c r="I128" s="94"/>
    </row>
    <row r="129" customFormat="false" ht="15.75" hidden="false" customHeight="false" outlineLevel="0" collapsed="false">
      <c r="A129" s="295"/>
      <c r="B129" s="295"/>
      <c r="C129" s="295"/>
      <c r="D129" s="295"/>
      <c r="E129" s="295"/>
      <c r="F129" s="295"/>
      <c r="G129" s="295"/>
      <c r="H129" s="295"/>
      <c r="I129" s="295"/>
    </row>
    <row r="130" customFormat="false" ht="15.75" hidden="false" customHeight="false" outlineLevel="0" collapsed="false">
      <c r="A130" s="33" t="s">
        <v>134</v>
      </c>
      <c r="B130" s="33"/>
      <c r="C130" s="33"/>
      <c r="D130" s="33"/>
      <c r="E130" s="33"/>
      <c r="F130" s="33"/>
      <c r="G130" s="33"/>
      <c r="H130" s="33"/>
      <c r="I130" s="33"/>
    </row>
    <row r="131" customFormat="false" ht="15.75" hidden="false" customHeight="false" outlineLevel="0" collapsed="false">
      <c r="A131" s="135" t="s">
        <v>135</v>
      </c>
      <c r="B131" s="135"/>
      <c r="C131" s="135"/>
      <c r="D131" s="135"/>
      <c r="E131" s="135"/>
      <c r="F131" s="135"/>
      <c r="G131" s="135"/>
      <c r="H131" s="135"/>
      <c r="I131" s="135"/>
    </row>
    <row r="132" customFormat="false" ht="15.75" hidden="false" customHeight="false" outlineLevel="0" collapsed="false">
      <c r="A132" s="136" t="s">
        <v>136</v>
      </c>
      <c r="B132" s="136"/>
      <c r="C132" s="136"/>
      <c r="D132" s="136"/>
      <c r="E132" s="136"/>
      <c r="F132" s="136"/>
      <c r="G132" s="136"/>
      <c r="H132" s="136"/>
      <c r="I132" s="313" t="s">
        <v>35</v>
      </c>
    </row>
    <row r="133" customFormat="false" ht="15.75" hidden="false" customHeight="false" outlineLevel="0" collapsed="false">
      <c r="A133" s="14" t="s">
        <v>8</v>
      </c>
      <c r="B133" s="15" t="s">
        <v>137</v>
      </c>
      <c r="C133" s="15"/>
      <c r="D133" s="15"/>
      <c r="E133" s="15"/>
      <c r="F133" s="15"/>
      <c r="G133" s="15"/>
      <c r="H133" s="15"/>
      <c r="I133" s="314" t="n">
        <f aca="false">I41</f>
        <v>2610.34</v>
      </c>
    </row>
    <row r="134" customFormat="false" ht="15.75" hidden="false" customHeight="false" outlineLevel="0" collapsed="false">
      <c r="A134" s="14" t="s">
        <v>10</v>
      </c>
      <c r="B134" s="15" t="s">
        <v>138</v>
      </c>
      <c r="C134" s="15"/>
      <c r="D134" s="15"/>
      <c r="E134" s="15"/>
      <c r="F134" s="15"/>
      <c r="G134" s="15"/>
      <c r="H134" s="15"/>
      <c r="I134" s="314" t="n">
        <f aca="false">I50</f>
        <v>709.32</v>
      </c>
    </row>
    <row r="135" customFormat="false" ht="15.75" hidden="false" customHeight="false" outlineLevel="0" collapsed="false">
      <c r="A135" s="14" t="s">
        <v>12</v>
      </c>
      <c r="B135" s="15" t="s">
        <v>139</v>
      </c>
      <c r="C135" s="15"/>
      <c r="D135" s="15"/>
      <c r="E135" s="15"/>
      <c r="F135" s="15"/>
      <c r="G135" s="15"/>
      <c r="H135" s="15"/>
      <c r="I135" s="315" t="n">
        <f aca="false">I55</f>
        <v>206.514375</v>
      </c>
    </row>
    <row r="136" customFormat="false" ht="15.75" hidden="false" customHeight="false" outlineLevel="0" collapsed="false">
      <c r="A136" s="14" t="s">
        <v>14</v>
      </c>
      <c r="B136" s="15" t="s">
        <v>109</v>
      </c>
      <c r="C136" s="15"/>
      <c r="D136" s="15"/>
      <c r="E136" s="15"/>
      <c r="F136" s="15"/>
      <c r="G136" s="15"/>
      <c r="H136" s="15"/>
      <c r="I136" s="314" t="n">
        <f aca="false">I107</f>
        <v>1885.13</v>
      </c>
    </row>
    <row r="137" customFormat="false" ht="15.75" hidden="false" customHeight="false" outlineLevel="0" collapsed="false">
      <c r="A137" s="140" t="s">
        <v>140</v>
      </c>
      <c r="B137" s="140"/>
      <c r="C137" s="140"/>
      <c r="D137" s="140"/>
      <c r="E137" s="140"/>
      <c r="F137" s="140"/>
      <c r="G137" s="140"/>
      <c r="H137" s="140"/>
      <c r="I137" s="316" t="n">
        <f aca="false">SUM(I133:I136)</f>
        <v>5411.304375</v>
      </c>
    </row>
    <row r="138" customFormat="false" ht="15.75" hidden="false" customHeight="false" outlineLevel="0" collapsed="false">
      <c r="A138" s="14" t="s">
        <v>40</v>
      </c>
      <c r="B138" s="15" t="s">
        <v>141</v>
      </c>
      <c r="C138" s="15"/>
      <c r="D138" s="15"/>
      <c r="E138" s="15"/>
      <c r="F138" s="15"/>
      <c r="G138" s="15"/>
      <c r="H138" s="15"/>
      <c r="I138" s="314" t="n">
        <f aca="false">I123</f>
        <v>1770.43</v>
      </c>
    </row>
    <row r="139" customFormat="false" ht="15.75" hidden="false" customHeight="false" outlineLevel="0" collapsed="false">
      <c r="A139" s="143" t="s">
        <v>142</v>
      </c>
      <c r="B139" s="143"/>
      <c r="C139" s="143"/>
      <c r="D139" s="143"/>
      <c r="E139" s="143"/>
      <c r="F139" s="143"/>
      <c r="G139" s="143"/>
      <c r="H139" s="143"/>
      <c r="I139" s="317" t="n">
        <f aca="false">SUM(I137+I138)</f>
        <v>7181.734375</v>
      </c>
    </row>
    <row r="140" customFormat="false" ht="15.75" hidden="false" customHeight="false" outlineLevel="0" collapsed="false">
      <c r="A140" s="301"/>
      <c r="B140" s="301"/>
      <c r="C140" s="301"/>
      <c r="D140" s="301"/>
      <c r="E140" s="301"/>
      <c r="F140" s="301"/>
      <c r="G140" s="301"/>
      <c r="H140" s="301"/>
      <c r="I140" s="301"/>
    </row>
    <row r="141" customFormat="false" ht="15.75" hidden="false" customHeight="false" outlineLevel="0" collapsed="false">
      <c r="A141" s="33" t="s">
        <v>143</v>
      </c>
      <c r="B141" s="33"/>
      <c r="C141" s="33"/>
      <c r="D141" s="33"/>
      <c r="E141" s="33"/>
      <c r="F141" s="33"/>
      <c r="G141" s="33"/>
      <c r="H141" s="33"/>
      <c r="I141" s="33"/>
    </row>
    <row r="142" customFormat="false" ht="15.75" hidden="false" customHeight="false" outlineLevel="0" collapsed="false">
      <c r="A142" s="146" t="s">
        <v>144</v>
      </c>
      <c r="B142" s="146"/>
      <c r="C142" s="146"/>
      <c r="D142" s="146"/>
      <c r="E142" s="146"/>
      <c r="F142" s="146"/>
      <c r="G142" s="146"/>
      <c r="H142" s="146"/>
      <c r="I142" s="146"/>
    </row>
    <row r="143" customFormat="false" ht="47.25" hidden="false" customHeight="true" outlineLevel="0" collapsed="false">
      <c r="A143" s="147" t="s">
        <v>145</v>
      </c>
      <c r="B143" s="147"/>
      <c r="C143" s="148" t="s">
        <v>146</v>
      </c>
      <c r="D143" s="148"/>
      <c r="E143" s="149" t="s">
        <v>147</v>
      </c>
      <c r="F143" s="148" t="s">
        <v>148</v>
      </c>
      <c r="G143" s="148"/>
      <c r="H143" s="148" t="s">
        <v>149</v>
      </c>
      <c r="I143" s="247" t="s">
        <v>150</v>
      </c>
    </row>
    <row r="144" customFormat="false" ht="16.5" hidden="false" customHeight="true" outlineLevel="0" collapsed="false">
      <c r="A144" s="151" t="s">
        <v>26</v>
      </c>
      <c r="B144" s="151"/>
      <c r="C144" s="152" t="n">
        <f aca="false">I139</f>
        <v>7181.734375</v>
      </c>
      <c r="D144" s="152"/>
      <c r="E144" s="153" t="s">
        <v>216</v>
      </c>
      <c r="F144" s="154" t="n">
        <f aca="false">C144</f>
        <v>7181.734375</v>
      </c>
      <c r="G144" s="154"/>
      <c r="H144" s="155" t="n">
        <v>1</v>
      </c>
      <c r="I144" s="253" t="n">
        <f aca="false">F144*H144</f>
        <v>7181.734375</v>
      </c>
    </row>
    <row r="145" customFormat="false" ht="15.75" hidden="false" customHeight="false" outlineLevel="0" collapsed="false">
      <c r="A145" s="301"/>
      <c r="B145" s="301"/>
      <c r="C145" s="301"/>
      <c r="D145" s="301"/>
      <c r="E145" s="301"/>
      <c r="F145" s="301"/>
      <c r="G145" s="301"/>
      <c r="H145" s="301"/>
      <c r="I145" s="301"/>
    </row>
    <row r="146" customFormat="false" ht="15.75" hidden="false" customHeight="false" outlineLevel="0" collapsed="false">
      <c r="A146" s="33" t="s">
        <v>151</v>
      </c>
      <c r="B146" s="33"/>
      <c r="C146" s="33"/>
      <c r="D146" s="33"/>
      <c r="E146" s="33"/>
      <c r="F146" s="33"/>
      <c r="G146" s="33"/>
      <c r="H146" s="33"/>
      <c r="I146" s="33"/>
    </row>
    <row r="147" customFormat="false" ht="15.75" hidden="false" customHeight="false" outlineLevel="0" collapsed="false">
      <c r="A147" s="146" t="s">
        <v>152</v>
      </c>
      <c r="B147" s="146"/>
      <c r="C147" s="146"/>
      <c r="D147" s="146"/>
      <c r="E147" s="146"/>
      <c r="F147" s="146"/>
      <c r="G147" s="146"/>
      <c r="H147" s="146"/>
      <c r="I147" s="146"/>
    </row>
    <row r="148" customFormat="false" ht="15.75" hidden="false" customHeight="false" outlineLevel="0" collapsed="false">
      <c r="A148" s="157" t="s">
        <v>153</v>
      </c>
      <c r="B148" s="157"/>
      <c r="C148" s="157"/>
      <c r="D148" s="157"/>
      <c r="E148" s="157"/>
      <c r="F148" s="157"/>
      <c r="G148" s="157"/>
      <c r="H148" s="157"/>
      <c r="I148" s="157"/>
    </row>
    <row r="149" customFormat="false" ht="15.75" hidden="false" customHeight="false" outlineLevel="0" collapsed="false">
      <c r="A149" s="158" t="s">
        <v>8</v>
      </c>
      <c r="B149" s="15" t="s">
        <v>154</v>
      </c>
      <c r="C149" s="15"/>
      <c r="D149" s="15"/>
      <c r="E149" s="15"/>
      <c r="F149" s="15"/>
      <c r="G149" s="15"/>
      <c r="H149" s="15"/>
      <c r="I149" s="318" t="n">
        <f aca="false">F144</f>
        <v>7181.734375</v>
      </c>
    </row>
    <row r="150" customFormat="false" ht="15.75" hidden="false" customHeight="false" outlineLevel="0" collapsed="false">
      <c r="A150" s="158" t="s">
        <v>10</v>
      </c>
      <c r="B150" s="15" t="s">
        <v>155</v>
      </c>
      <c r="C150" s="15"/>
      <c r="D150" s="15"/>
      <c r="E150" s="15"/>
      <c r="F150" s="15"/>
      <c r="G150" s="15"/>
      <c r="H150" s="15"/>
      <c r="I150" s="319" t="n">
        <f aca="false">I144</f>
        <v>7181.734375</v>
      </c>
    </row>
    <row r="151" customFormat="false" ht="16.5" hidden="false" customHeight="true" outlineLevel="0" collapsed="false">
      <c r="A151" s="161" t="s">
        <v>12</v>
      </c>
      <c r="B151" s="162" t="s">
        <v>156</v>
      </c>
      <c r="C151" s="162"/>
      <c r="D151" s="162"/>
      <c r="E151" s="162"/>
      <c r="F151" s="162"/>
      <c r="G151" s="162"/>
      <c r="H151" s="162"/>
      <c r="I151" s="320" t="n">
        <f aca="false">I150*12</f>
        <v>86180.8125</v>
      </c>
    </row>
  </sheetData>
  <mergeCells count="156">
    <mergeCell ref="A8:I8"/>
    <mergeCell ref="A9:I9"/>
    <mergeCell ref="A10:I10"/>
    <mergeCell ref="A11:I11"/>
    <mergeCell ref="A12:I12"/>
    <mergeCell ref="A13:I13"/>
    <mergeCell ref="A14:I14"/>
    <mergeCell ref="B15:H15"/>
    <mergeCell ref="B16:H16"/>
    <mergeCell ref="B17:H17"/>
    <mergeCell ref="B18:H18"/>
    <mergeCell ref="A19:I19"/>
    <mergeCell ref="A20:D20"/>
    <mergeCell ref="E20:F20"/>
    <mergeCell ref="G20:I20"/>
    <mergeCell ref="A21:D21"/>
    <mergeCell ref="E21:F22"/>
    <mergeCell ref="G21:I22"/>
    <mergeCell ref="A22:D22"/>
    <mergeCell ref="B23:I23"/>
    <mergeCell ref="A24:I24"/>
    <mergeCell ref="A25:I25"/>
    <mergeCell ref="A26:I26"/>
    <mergeCell ref="B27:H27"/>
    <mergeCell ref="B28:H28"/>
    <mergeCell ref="B29:H29"/>
    <mergeCell ref="B30:H30"/>
    <mergeCell ref="B31:H31"/>
    <mergeCell ref="B32:H32"/>
    <mergeCell ref="B33:H33"/>
    <mergeCell ref="A34:I34"/>
    <mergeCell ref="A35:I35"/>
    <mergeCell ref="B36:H36"/>
    <mergeCell ref="B37:H37"/>
    <mergeCell ref="B38:H38"/>
    <mergeCell ref="B39:H39"/>
    <mergeCell ref="B40:H40"/>
    <mergeCell ref="A41:H41"/>
    <mergeCell ref="A42:I42"/>
    <mergeCell ref="B43:H43"/>
    <mergeCell ref="A44:A46"/>
    <mergeCell ref="B44:H44"/>
    <mergeCell ref="B45:G45"/>
    <mergeCell ref="B46:G46"/>
    <mergeCell ref="A47:A48"/>
    <mergeCell ref="B47:H47"/>
    <mergeCell ref="B48:G48"/>
    <mergeCell ref="B49:H49"/>
    <mergeCell ref="A50:H50"/>
    <mergeCell ref="A51:I51"/>
    <mergeCell ref="A52:I52"/>
    <mergeCell ref="B53:H53"/>
    <mergeCell ref="B54:H54"/>
    <mergeCell ref="A55:H55"/>
    <mergeCell ref="A56:I56"/>
    <mergeCell ref="A57:I57"/>
    <mergeCell ref="B58:G58"/>
    <mergeCell ref="B59:G59"/>
    <mergeCell ref="B60:G60"/>
    <mergeCell ref="B61:G61"/>
    <mergeCell ref="B62:G62"/>
    <mergeCell ref="B63:G63"/>
    <mergeCell ref="B64:G64"/>
    <mergeCell ref="B65:E65"/>
    <mergeCell ref="B66:G66"/>
    <mergeCell ref="A67:G67"/>
    <mergeCell ref="A68:I68"/>
    <mergeCell ref="A69:I69"/>
    <mergeCell ref="A70:I70"/>
    <mergeCell ref="B71:H71"/>
    <mergeCell ref="B72:H72"/>
    <mergeCell ref="A73:H73"/>
    <mergeCell ref="B74:H74"/>
    <mergeCell ref="A75:H75"/>
    <mergeCell ref="A76:I76"/>
    <mergeCell ref="B77:H77"/>
    <mergeCell ref="B78:H78"/>
    <mergeCell ref="B79:H79"/>
    <mergeCell ref="A80:H80"/>
    <mergeCell ref="A81:I81"/>
    <mergeCell ref="B82:H82"/>
    <mergeCell ref="B83:H83"/>
    <mergeCell ref="B84:H84"/>
    <mergeCell ref="B85:H85"/>
    <mergeCell ref="B86:H86"/>
    <mergeCell ref="B87:H87"/>
    <mergeCell ref="B88:H88"/>
    <mergeCell ref="A89:H89"/>
    <mergeCell ref="A90:I90"/>
    <mergeCell ref="B91:H91"/>
    <mergeCell ref="B92:H92"/>
    <mergeCell ref="B93:H93"/>
    <mergeCell ref="B94:H94"/>
    <mergeCell ref="B95:H95"/>
    <mergeCell ref="B96:H96"/>
    <mergeCell ref="A97:H97"/>
    <mergeCell ref="B98:H98"/>
    <mergeCell ref="A99:H99"/>
    <mergeCell ref="A100:I100"/>
    <mergeCell ref="B101:H101"/>
    <mergeCell ref="B102:H102"/>
    <mergeCell ref="B103:H103"/>
    <mergeCell ref="B104:H104"/>
    <mergeCell ref="B105:H105"/>
    <mergeCell ref="B106:H106"/>
    <mergeCell ref="A107:H107"/>
    <mergeCell ref="A108:I108"/>
    <mergeCell ref="B109:G109"/>
    <mergeCell ref="A110:G110"/>
    <mergeCell ref="B111:G111"/>
    <mergeCell ref="A112:G112"/>
    <mergeCell ref="B113:G113"/>
    <mergeCell ref="A114:G114"/>
    <mergeCell ref="A115:A122"/>
    <mergeCell ref="B115:G115"/>
    <mergeCell ref="B116:G116"/>
    <mergeCell ref="B117:G117"/>
    <mergeCell ref="B118:G118"/>
    <mergeCell ref="B119:G119"/>
    <mergeCell ref="B120:G120"/>
    <mergeCell ref="B121:G121"/>
    <mergeCell ref="B122:G122"/>
    <mergeCell ref="A123:H123"/>
    <mergeCell ref="A124:G124"/>
    <mergeCell ref="A125:B126"/>
    <mergeCell ref="C125:I125"/>
    <mergeCell ref="C126:I126"/>
    <mergeCell ref="A127:I127"/>
    <mergeCell ref="A128:I128"/>
    <mergeCell ref="A129:I129"/>
    <mergeCell ref="A130:I130"/>
    <mergeCell ref="A131:I131"/>
    <mergeCell ref="A132:H132"/>
    <mergeCell ref="B133:H133"/>
    <mergeCell ref="B134:H134"/>
    <mergeCell ref="B135:H135"/>
    <mergeCell ref="B136:H136"/>
    <mergeCell ref="A137:H137"/>
    <mergeCell ref="B138:H138"/>
    <mergeCell ref="A139:H139"/>
    <mergeCell ref="A140:I140"/>
    <mergeCell ref="A141:I141"/>
    <mergeCell ref="A142:I142"/>
    <mergeCell ref="A143:B143"/>
    <mergeCell ref="C143:D143"/>
    <mergeCell ref="F143:G143"/>
    <mergeCell ref="A144:B144"/>
    <mergeCell ref="C144:D144"/>
    <mergeCell ref="F144:G144"/>
    <mergeCell ref="A145:I145"/>
    <mergeCell ref="A146:I146"/>
    <mergeCell ref="A147:I147"/>
    <mergeCell ref="A148:I148"/>
    <mergeCell ref="B149:H149"/>
    <mergeCell ref="B150:H150"/>
    <mergeCell ref="B151:H151"/>
  </mergeCells>
  <printOptions headings="false" gridLines="false" gridLinesSet="true" horizontalCentered="false" verticalCentered="false"/>
  <pageMargins left="0.698611111111111" right="0.698611111111111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5" man="true" max="16383" min="0"/>
    <brk id="107" man="true" max="16383" min="0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N150"/>
  <sheetViews>
    <sheetView showFormulas="false" showGridLines="true" showRowColHeaders="true" showZeros="true" rightToLeft="false" tabSelected="false" showOutlineSymbols="true" defaultGridColor="true" view="pageBreakPreview" topLeftCell="A130" colorId="64" zoomScale="76" zoomScaleNormal="100" zoomScalePageLayoutView="76" workbookViewId="0">
      <selection pane="topLeft" activeCell="I43" activeCellId="0" sqref="I43"/>
    </sheetView>
  </sheetViews>
  <sheetFormatPr defaultRowHeight="15" zeroHeight="false" outlineLevelRow="0" outlineLevelCol="0"/>
  <cols>
    <col collapsed="false" customWidth="true" hidden="false" outlineLevel="0" max="1" min="1" style="1" width="17.29"/>
    <col collapsed="false" customWidth="true" hidden="false" outlineLevel="0" max="3" min="2" style="1" width="18.12"/>
    <col collapsed="false" customWidth="true" hidden="false" outlineLevel="0" max="4" min="4" style="1" width="17.71"/>
    <col collapsed="false" customWidth="true" hidden="false" outlineLevel="0" max="5" min="5" style="1" width="22.57"/>
    <col collapsed="false" customWidth="true" hidden="false" outlineLevel="0" max="6" min="6" style="1" width="18"/>
    <col collapsed="false" customWidth="true" hidden="false" outlineLevel="0" max="7" min="7" style="1" width="16.57"/>
    <col collapsed="false" customWidth="true" hidden="false" outlineLevel="0" max="8" min="8" style="1" width="27.58"/>
    <col collapsed="false" customWidth="true" hidden="false" outlineLevel="0" max="9" min="9" style="1" width="52"/>
    <col collapsed="false" customWidth="true" hidden="true" outlineLevel="0" max="11" min="10" style="1" width="9"/>
    <col collapsed="false" customWidth="true" hidden="false" outlineLevel="0" max="12" min="12" style="1" width="58.57"/>
    <col collapsed="false" customWidth="true" hidden="false" outlineLevel="0" max="1025" min="13" style="1" width="28.57"/>
  </cols>
  <sheetData>
    <row r="1" s="101" customFormat="true" ht="15.75" hidden="false" customHeight="false" outlineLevel="0" collapsed="false">
      <c r="A1" s="173" t="s">
        <v>178</v>
      </c>
      <c r="I1" s="261"/>
    </row>
    <row r="2" s="101" customFormat="true" ht="15.75" hidden="false" customHeight="false" outlineLevel="0" collapsed="false">
      <c r="A2" s="173" t="s">
        <v>179</v>
      </c>
      <c r="I2" s="261"/>
    </row>
    <row r="3" s="101" customFormat="true" ht="15.75" hidden="false" customHeight="false" outlineLevel="0" collapsed="false">
      <c r="A3" s="173" t="s">
        <v>180</v>
      </c>
      <c r="I3" s="261"/>
    </row>
    <row r="4" s="101" customFormat="true" ht="15.75" hidden="false" customHeight="false" outlineLevel="0" collapsed="false">
      <c r="A4" s="173" t="s">
        <v>181</v>
      </c>
      <c r="I4" s="261"/>
    </row>
    <row r="5" s="101" customFormat="true" ht="15.75" hidden="false" customHeight="false" outlineLevel="0" collapsed="false">
      <c r="A5" s="173" t="s">
        <v>182</v>
      </c>
      <c r="I5" s="261"/>
    </row>
    <row r="6" s="101" customFormat="true" ht="15.75" hidden="false" customHeight="false" outlineLevel="0" collapsed="false">
      <c r="A6" s="173" t="s">
        <v>183</v>
      </c>
      <c r="I6" s="261"/>
    </row>
    <row r="7" customFormat="false" ht="15.75" hidden="false" customHeight="false" outlineLevel="0" collapsed="false">
      <c r="A7" s="174" t="s">
        <v>184</v>
      </c>
      <c r="I7" s="262"/>
    </row>
    <row r="8" customFormat="false" ht="15.75" hidden="false" customHeight="false" outlineLevel="0" collapsed="false">
      <c r="A8" s="263" t="s">
        <v>1</v>
      </c>
      <c r="B8" s="263"/>
      <c r="C8" s="263"/>
      <c r="D8" s="263"/>
      <c r="E8" s="263"/>
      <c r="F8" s="263"/>
      <c r="G8" s="263"/>
      <c r="H8" s="263"/>
      <c r="I8" s="263"/>
    </row>
    <row r="9" customFormat="false" ht="15.75" hidden="false" customHeight="false" outlineLevel="0" collapsed="false">
      <c r="A9" s="4" t="s">
        <v>2</v>
      </c>
      <c r="B9" s="4"/>
      <c r="C9" s="4"/>
      <c r="D9" s="4"/>
      <c r="E9" s="4"/>
      <c r="F9" s="4"/>
      <c r="G9" s="4"/>
      <c r="H9" s="4"/>
      <c r="I9" s="4"/>
    </row>
    <row r="10" customFormat="false" ht="15.75" hidden="false" customHeight="false" outlineLevel="0" collapsed="false">
      <c r="A10" s="5" t="s">
        <v>3</v>
      </c>
      <c r="B10" s="5"/>
      <c r="C10" s="5"/>
      <c r="D10" s="5"/>
      <c r="E10" s="5"/>
      <c r="F10" s="5"/>
      <c r="G10" s="5"/>
      <c r="H10" s="5"/>
      <c r="I10" s="5"/>
    </row>
    <row r="11" customFormat="false" ht="15.75" hidden="false" customHeight="false" outlineLevel="0" collapsed="false">
      <c r="A11" s="6" t="s">
        <v>4</v>
      </c>
      <c r="B11" s="6"/>
      <c r="C11" s="6"/>
      <c r="D11" s="6"/>
      <c r="E11" s="6"/>
      <c r="F11" s="6"/>
      <c r="G11" s="6"/>
      <c r="H11" s="6"/>
      <c r="I11" s="6"/>
    </row>
    <row r="12" customFormat="false" ht="15.75" hidden="false" customHeight="false" outlineLevel="0" collapsed="false">
      <c r="A12" s="7" t="s">
        <v>5</v>
      </c>
      <c r="B12" s="7"/>
      <c r="C12" s="7"/>
      <c r="D12" s="7"/>
      <c r="E12" s="7"/>
      <c r="F12" s="7"/>
      <c r="G12" s="7"/>
      <c r="H12" s="7"/>
      <c r="I12" s="7"/>
    </row>
    <row r="13" customFormat="false" ht="15.75" hidden="false" customHeight="false" outlineLevel="0" collapsed="false">
      <c r="A13" s="8" t="s">
        <v>6</v>
      </c>
      <c r="B13" s="8"/>
      <c r="C13" s="8"/>
      <c r="D13" s="8"/>
      <c r="E13" s="8"/>
      <c r="F13" s="8"/>
      <c r="G13" s="8"/>
      <c r="H13" s="8"/>
      <c r="I13" s="8"/>
    </row>
    <row r="14" customFormat="false" ht="15.75" hidden="false" customHeight="false" outlineLevel="0" collapsed="false">
      <c r="A14" s="179" t="s">
        <v>7</v>
      </c>
      <c r="B14" s="179"/>
      <c r="C14" s="179"/>
      <c r="D14" s="179"/>
      <c r="E14" s="179"/>
      <c r="F14" s="179"/>
      <c r="G14" s="179"/>
      <c r="H14" s="179"/>
      <c r="I14" s="179"/>
    </row>
    <row r="15" customFormat="false" ht="15.75" hidden="false" customHeight="false" outlineLevel="0" collapsed="false">
      <c r="A15" s="10" t="s">
        <v>8</v>
      </c>
      <c r="B15" s="11" t="s">
        <v>9</v>
      </c>
      <c r="C15" s="11"/>
      <c r="D15" s="11"/>
      <c r="E15" s="11"/>
      <c r="F15" s="11"/>
      <c r="G15" s="11"/>
      <c r="H15" s="11"/>
      <c r="I15" s="264"/>
    </row>
    <row r="16" customFormat="false" ht="15.75" hidden="false" customHeight="false" outlineLevel="0" collapsed="false">
      <c r="A16" s="14" t="s">
        <v>10</v>
      </c>
      <c r="B16" s="15" t="s">
        <v>11</v>
      </c>
      <c r="C16" s="15"/>
      <c r="D16" s="15"/>
      <c r="E16" s="15"/>
      <c r="F16" s="15"/>
      <c r="G16" s="15"/>
      <c r="H16" s="15"/>
      <c r="I16" s="265" t="s">
        <v>297</v>
      </c>
    </row>
    <row r="17" customFormat="false" ht="47.25" hidden="false" customHeight="true" outlineLevel="0" collapsed="false">
      <c r="A17" s="17" t="s">
        <v>12</v>
      </c>
      <c r="B17" s="18" t="s">
        <v>13</v>
      </c>
      <c r="C17" s="18"/>
      <c r="D17" s="18"/>
      <c r="E17" s="18"/>
      <c r="F17" s="18"/>
      <c r="G17" s="18"/>
      <c r="H17" s="18"/>
      <c r="I17" s="266" t="s">
        <v>186</v>
      </c>
    </row>
    <row r="18" customFormat="false" ht="15.75" hidden="false" customHeight="false" outlineLevel="0" collapsed="false">
      <c r="A18" s="20" t="s">
        <v>14</v>
      </c>
      <c r="B18" s="21" t="s">
        <v>15</v>
      </c>
      <c r="C18" s="21"/>
      <c r="D18" s="21"/>
      <c r="E18" s="21"/>
      <c r="F18" s="21"/>
      <c r="G18" s="21"/>
      <c r="H18" s="21"/>
      <c r="I18" s="267" t="n">
        <v>12</v>
      </c>
    </row>
    <row r="19" customFormat="false" ht="15.75" hidden="false" customHeight="false" outlineLevel="0" collapsed="false">
      <c r="A19" s="179" t="s">
        <v>16</v>
      </c>
      <c r="B19" s="179"/>
      <c r="C19" s="179"/>
      <c r="D19" s="179"/>
      <c r="E19" s="179"/>
      <c r="F19" s="179"/>
      <c r="G19" s="179"/>
      <c r="H19" s="179"/>
      <c r="I19" s="179"/>
    </row>
    <row r="20" customFormat="false" ht="15.75" hidden="false" customHeight="false" outlineLevel="0" collapsed="false">
      <c r="A20" s="23" t="s">
        <v>17</v>
      </c>
      <c r="B20" s="23"/>
      <c r="C20" s="23"/>
      <c r="D20" s="23"/>
      <c r="E20" s="24" t="s">
        <v>18</v>
      </c>
      <c r="F20" s="24"/>
      <c r="G20" s="25" t="s">
        <v>19</v>
      </c>
      <c r="H20" s="25"/>
      <c r="I20" s="25"/>
    </row>
    <row r="21" customFormat="false" ht="15.75" hidden="false" customHeight="true" outlineLevel="0" collapsed="false">
      <c r="A21" s="26" t="s">
        <v>20</v>
      </c>
      <c r="B21" s="26"/>
      <c r="C21" s="26"/>
      <c r="D21" s="26"/>
      <c r="E21" s="27" t="s">
        <v>21</v>
      </c>
      <c r="F21" s="27"/>
      <c r="G21" s="28" t="n">
        <v>1</v>
      </c>
      <c r="H21" s="28"/>
      <c r="I21" s="28"/>
    </row>
    <row r="22" customFormat="false" ht="16.5" hidden="false" customHeight="true" outlineLevel="0" collapsed="false">
      <c r="A22" s="465" t="s">
        <v>246</v>
      </c>
      <c r="B22" s="465"/>
      <c r="C22" s="465"/>
      <c r="D22" s="465"/>
      <c r="E22" s="27"/>
      <c r="F22" s="27"/>
      <c r="G22" s="28"/>
      <c r="H22" s="28"/>
      <c r="I22" s="28"/>
      <c r="L22" s="30"/>
    </row>
    <row r="23" customFormat="false" ht="15.75" hidden="false" customHeight="false" outlineLevel="0" collapsed="false">
      <c r="A23" s="31"/>
      <c r="B23" s="269"/>
      <c r="C23" s="269"/>
      <c r="D23" s="269"/>
      <c r="E23" s="269"/>
      <c r="F23" s="269"/>
      <c r="G23" s="269"/>
      <c r="H23" s="269"/>
      <c r="I23" s="269"/>
    </row>
    <row r="24" customFormat="false" ht="15.75" hidden="false" customHeight="false" outlineLevel="0" collapsed="false">
      <c r="A24" s="33" t="s">
        <v>22</v>
      </c>
      <c r="B24" s="33"/>
      <c r="C24" s="33"/>
      <c r="D24" s="33"/>
      <c r="E24" s="33"/>
      <c r="F24" s="33"/>
      <c r="G24" s="33"/>
      <c r="H24" s="33"/>
      <c r="I24" s="33"/>
    </row>
    <row r="25" customFormat="false" ht="15.75" hidden="false" customHeight="false" outlineLevel="0" collapsed="false">
      <c r="A25" s="34" t="s">
        <v>23</v>
      </c>
      <c r="B25" s="34"/>
      <c r="C25" s="34"/>
      <c r="D25" s="34"/>
      <c r="E25" s="34"/>
      <c r="F25" s="34"/>
      <c r="G25" s="34"/>
      <c r="H25" s="34"/>
      <c r="I25" s="34"/>
    </row>
    <row r="26" customFormat="false" ht="15.75" hidden="false" customHeight="false" outlineLevel="0" collapsed="false">
      <c r="A26" s="35" t="s">
        <v>24</v>
      </c>
      <c r="B26" s="35"/>
      <c r="C26" s="35"/>
      <c r="D26" s="35"/>
      <c r="E26" s="35"/>
      <c r="F26" s="35"/>
      <c r="G26" s="35"/>
      <c r="H26" s="35"/>
      <c r="I26" s="35"/>
    </row>
    <row r="27" customFormat="false" ht="15.75" hidden="false" customHeight="true" outlineLevel="0" collapsed="false">
      <c r="A27" s="14" t="n">
        <v>1</v>
      </c>
      <c r="B27" s="36" t="s">
        <v>25</v>
      </c>
      <c r="C27" s="36"/>
      <c r="D27" s="36"/>
      <c r="E27" s="36"/>
      <c r="F27" s="36"/>
      <c r="G27" s="36"/>
      <c r="H27" s="36"/>
      <c r="I27" s="266" t="s">
        <v>26</v>
      </c>
    </row>
    <row r="28" customFormat="false" ht="15.75" hidden="false" customHeight="true" outlineLevel="0" collapsed="false">
      <c r="A28" s="14" t="n">
        <v>2</v>
      </c>
      <c r="B28" s="38" t="s">
        <v>27</v>
      </c>
      <c r="C28" s="38"/>
      <c r="D28" s="38"/>
      <c r="E28" s="38"/>
      <c r="F28" s="38"/>
      <c r="G28" s="38"/>
      <c r="H28" s="38"/>
      <c r="I28" s="265" t="n">
        <f aca="false">Dados!B2</f>
        <v>1305.17</v>
      </c>
    </row>
    <row r="29" customFormat="false" ht="15.75" hidden="false" customHeight="true" outlineLevel="0" collapsed="false">
      <c r="A29" s="14" t="n">
        <v>3</v>
      </c>
      <c r="B29" s="38" t="s">
        <v>28</v>
      </c>
      <c r="C29" s="38"/>
      <c r="D29" s="38"/>
      <c r="E29" s="38"/>
      <c r="F29" s="38"/>
      <c r="G29" s="38"/>
      <c r="H29" s="38"/>
      <c r="I29" s="265" t="s">
        <v>188</v>
      </c>
    </row>
    <row r="30" customFormat="false" ht="15.75" hidden="false" customHeight="true" outlineLevel="0" collapsed="false">
      <c r="A30" s="40" t="n">
        <v>4</v>
      </c>
      <c r="B30" s="41" t="s">
        <v>29</v>
      </c>
      <c r="C30" s="41"/>
      <c r="D30" s="41"/>
      <c r="E30" s="41"/>
      <c r="F30" s="41"/>
      <c r="G30" s="41"/>
      <c r="H30" s="41"/>
      <c r="I30" s="270" t="n">
        <v>42005</v>
      </c>
    </row>
    <row r="31" customFormat="false" ht="15.75" hidden="false" customHeight="true" outlineLevel="0" collapsed="false">
      <c r="A31" s="40" t="n">
        <v>5</v>
      </c>
      <c r="B31" s="38" t="s">
        <v>30</v>
      </c>
      <c r="C31" s="38"/>
      <c r="D31" s="38"/>
      <c r="E31" s="38"/>
      <c r="F31" s="38"/>
      <c r="G31" s="38"/>
      <c r="H31" s="38"/>
      <c r="I31" s="270" t="n">
        <f aca="false">I28/220</f>
        <v>5.93259090909091</v>
      </c>
    </row>
    <row r="32" customFormat="false" ht="15.75" hidden="false" customHeight="true" outlineLevel="0" collapsed="false">
      <c r="A32" s="40" t="n">
        <v>6</v>
      </c>
      <c r="B32" s="38" t="s">
        <v>31</v>
      </c>
      <c r="C32" s="38"/>
      <c r="D32" s="38"/>
      <c r="E32" s="38"/>
      <c r="F32" s="38"/>
      <c r="G32" s="38"/>
      <c r="H32" s="38"/>
      <c r="I32" s="270" t="n">
        <f aca="false">I31*1.5</f>
        <v>8.89888636363636</v>
      </c>
    </row>
    <row r="33" customFormat="false" ht="16.5" hidden="false" customHeight="true" outlineLevel="0" collapsed="false">
      <c r="A33" s="20" t="n">
        <v>7</v>
      </c>
      <c r="B33" s="44" t="s">
        <v>32</v>
      </c>
      <c r="C33" s="44"/>
      <c r="D33" s="44"/>
      <c r="E33" s="44"/>
      <c r="F33" s="44"/>
      <c r="G33" s="44"/>
      <c r="H33" s="44"/>
      <c r="I33" s="267" t="n">
        <f aca="false">I31*0.2</f>
        <v>1.18651818181818</v>
      </c>
    </row>
    <row r="34" customFormat="false" ht="15.75" hidden="false" customHeight="false" outlineLevel="0" collapsed="false">
      <c r="A34" s="271"/>
      <c r="B34" s="271"/>
      <c r="C34" s="271"/>
      <c r="D34" s="271"/>
      <c r="E34" s="271"/>
      <c r="F34" s="271"/>
      <c r="G34" s="271"/>
      <c r="H34" s="271"/>
      <c r="I34" s="271"/>
    </row>
    <row r="35" customFormat="false" ht="15.75" hidden="false" customHeight="false" outlineLevel="0" collapsed="false">
      <c r="A35" s="47" t="s">
        <v>33</v>
      </c>
      <c r="B35" s="47"/>
      <c r="C35" s="47"/>
      <c r="D35" s="47"/>
      <c r="E35" s="47"/>
      <c r="F35" s="47"/>
      <c r="G35" s="47"/>
      <c r="H35" s="47"/>
      <c r="I35" s="47"/>
    </row>
    <row r="36" customFormat="false" ht="15.75" hidden="false" customHeight="false" outlineLevel="0" collapsed="false">
      <c r="A36" s="48" t="n">
        <v>1</v>
      </c>
      <c r="B36" s="49" t="s">
        <v>34</v>
      </c>
      <c r="C36" s="49"/>
      <c r="D36" s="49"/>
      <c r="E36" s="49"/>
      <c r="F36" s="49"/>
      <c r="G36" s="49"/>
      <c r="H36" s="49"/>
      <c r="I36" s="272" t="s">
        <v>35</v>
      </c>
      <c r="L36" s="51"/>
    </row>
    <row r="37" customFormat="false" ht="15.75" hidden="false" customHeight="false" outlineLevel="0" collapsed="false">
      <c r="A37" s="17" t="s">
        <v>8</v>
      </c>
      <c r="B37" s="52" t="s">
        <v>189</v>
      </c>
      <c r="C37" s="52"/>
      <c r="D37" s="52"/>
      <c r="E37" s="52"/>
      <c r="F37" s="52"/>
      <c r="G37" s="52"/>
      <c r="H37" s="52"/>
      <c r="I37" s="273" t="n">
        <f aca="false">ROUND(I31*150*2,2)</f>
        <v>1779.78</v>
      </c>
      <c r="L37" s="51"/>
    </row>
    <row r="38" customFormat="false" ht="15.75" hidden="false" customHeight="false" outlineLevel="0" collapsed="false">
      <c r="A38" s="17" t="s">
        <v>10</v>
      </c>
      <c r="B38" s="74" t="s">
        <v>293</v>
      </c>
      <c r="C38" s="74"/>
      <c r="D38" s="74"/>
      <c r="E38" s="74"/>
      <c r="F38" s="74"/>
      <c r="G38" s="74"/>
      <c r="H38" s="74"/>
      <c r="I38" s="273" t="n">
        <f aca="false">ROUND(I32*21*2*(15/60),2)</f>
        <v>93.44</v>
      </c>
      <c r="L38" s="55"/>
    </row>
    <row r="39" customFormat="false" ht="18" hidden="false" customHeight="true" outlineLevel="0" collapsed="false">
      <c r="A39" s="17" t="s">
        <v>12</v>
      </c>
      <c r="B39" s="58" t="s">
        <v>43</v>
      </c>
      <c r="C39" s="58"/>
      <c r="D39" s="58"/>
      <c r="E39" s="58"/>
      <c r="F39" s="58"/>
      <c r="G39" s="58"/>
      <c r="H39" s="58"/>
      <c r="I39" s="273" t="n">
        <f aca="false">SUM(I38:I38)*0.2</f>
        <v>18.688</v>
      </c>
      <c r="K39" s="59"/>
    </row>
    <row r="40" customFormat="false" ht="15.75" hidden="false" customHeight="false" outlineLevel="0" collapsed="false">
      <c r="A40" s="60" t="s">
        <v>44</v>
      </c>
      <c r="B40" s="60"/>
      <c r="C40" s="60"/>
      <c r="D40" s="60"/>
      <c r="E40" s="60"/>
      <c r="F40" s="60"/>
      <c r="G40" s="60"/>
      <c r="H40" s="60"/>
      <c r="I40" s="275" t="n">
        <f aca="false">SUM(I37:I39)</f>
        <v>1891.908</v>
      </c>
    </row>
    <row r="41" customFormat="false" ht="15.75" hidden="false" customHeight="false" outlineLevel="0" collapsed="false">
      <c r="A41" s="47" t="s">
        <v>45</v>
      </c>
      <c r="B41" s="47"/>
      <c r="C41" s="47"/>
      <c r="D41" s="47"/>
      <c r="E41" s="47"/>
      <c r="F41" s="47"/>
      <c r="G41" s="47"/>
      <c r="H41" s="47"/>
      <c r="I41" s="47"/>
    </row>
    <row r="42" customFormat="false" ht="15.75" hidden="false" customHeight="false" outlineLevel="0" collapsed="false">
      <c r="A42" s="62" t="n">
        <v>2</v>
      </c>
      <c r="B42" s="63" t="s">
        <v>46</v>
      </c>
      <c r="C42" s="63"/>
      <c r="D42" s="63"/>
      <c r="E42" s="63"/>
      <c r="F42" s="63"/>
      <c r="G42" s="63"/>
      <c r="H42" s="63"/>
      <c r="I42" s="272" t="s">
        <v>35</v>
      </c>
    </row>
    <row r="43" customFormat="false" ht="15.75" hidden="false" customHeight="true" outlineLevel="0" collapsed="false">
      <c r="A43" s="64" t="s">
        <v>8</v>
      </c>
      <c r="B43" s="54" t="s">
        <v>206</v>
      </c>
      <c r="C43" s="54"/>
      <c r="D43" s="54"/>
      <c r="E43" s="54"/>
      <c r="F43" s="54"/>
      <c r="G43" s="54"/>
      <c r="H43" s="54"/>
      <c r="I43" s="276" t="n">
        <f aca="false">ROUND((2*H45*H44*21)-(0.06*I37),2)</f>
        <v>199.81</v>
      </c>
      <c r="L43" s="66"/>
    </row>
    <row r="44" customFormat="false" ht="31.5" hidden="false" customHeight="true" outlineLevel="0" collapsed="false">
      <c r="A44" s="64"/>
      <c r="B44" s="277" t="s">
        <v>298</v>
      </c>
      <c r="C44" s="277"/>
      <c r="D44" s="277"/>
      <c r="E44" s="277"/>
      <c r="F44" s="277"/>
      <c r="G44" s="277"/>
      <c r="H44" s="278" t="n">
        <f aca="false">Dados!B10</f>
        <v>3.65</v>
      </c>
      <c r="I44" s="279"/>
    </row>
    <row r="45" customFormat="false" ht="15.75" hidden="false" customHeight="false" outlineLevel="0" collapsed="false">
      <c r="A45" s="64"/>
      <c r="B45" s="69" t="s">
        <v>49</v>
      </c>
      <c r="C45" s="69"/>
      <c r="D45" s="69"/>
      <c r="E45" s="69"/>
      <c r="F45" s="69"/>
      <c r="G45" s="69"/>
      <c r="H45" s="70" t="n">
        <v>2</v>
      </c>
      <c r="I45" s="279"/>
    </row>
    <row r="46" customFormat="false" ht="15.75" hidden="false" customHeight="true" outlineLevel="0" collapsed="false">
      <c r="A46" s="64" t="s">
        <v>10</v>
      </c>
      <c r="B46" s="54" t="s">
        <v>50</v>
      </c>
      <c r="C46" s="54"/>
      <c r="D46" s="54"/>
      <c r="E46" s="54"/>
      <c r="F46" s="54"/>
      <c r="G46" s="54"/>
      <c r="H46" s="54"/>
      <c r="I46" s="279" t="n">
        <f aca="false">ROUND((2*21*H47)*(1-0.18),2)</f>
        <v>287.92</v>
      </c>
    </row>
    <row r="47" customFormat="false" ht="15.75" hidden="false" customHeight="false" outlineLevel="0" collapsed="false">
      <c r="A47" s="64"/>
      <c r="B47" s="69" t="s">
        <v>299</v>
      </c>
      <c r="C47" s="69"/>
      <c r="D47" s="69"/>
      <c r="E47" s="69"/>
      <c r="F47" s="69"/>
      <c r="G47" s="69"/>
      <c r="H47" s="280" t="n">
        <f aca="false">Dados!B4</f>
        <v>8.36</v>
      </c>
      <c r="I47" s="281"/>
    </row>
    <row r="48" customFormat="false" ht="30" hidden="false" customHeight="true" outlineLevel="0" collapsed="false">
      <c r="A48" s="17" t="s">
        <v>12</v>
      </c>
      <c r="B48" s="58" t="s">
        <v>194</v>
      </c>
      <c r="C48" s="58"/>
      <c r="D48" s="58"/>
      <c r="E48" s="58"/>
      <c r="F48" s="58"/>
      <c r="G48" s="58"/>
      <c r="H48" s="58"/>
      <c r="I48" s="279" t="n">
        <f aca="false">ROUND(Dados!B5*2,2)</f>
        <v>30.04</v>
      </c>
    </row>
    <row r="49" customFormat="false" ht="15.75" hidden="false" customHeight="false" outlineLevel="0" collapsed="false">
      <c r="A49" s="60" t="s">
        <v>53</v>
      </c>
      <c r="B49" s="60"/>
      <c r="C49" s="60"/>
      <c r="D49" s="60"/>
      <c r="E49" s="60"/>
      <c r="F49" s="60"/>
      <c r="G49" s="60"/>
      <c r="H49" s="60"/>
      <c r="I49" s="275" t="n">
        <f aca="false">SUM(I43:I48)</f>
        <v>517.77</v>
      </c>
    </row>
    <row r="50" customFormat="false" ht="15.75" hidden="false" customHeight="false" outlineLevel="0" collapsed="false">
      <c r="A50" s="73" t="s">
        <v>54</v>
      </c>
      <c r="B50" s="73"/>
      <c r="C50" s="73"/>
      <c r="D50" s="73"/>
      <c r="E50" s="73"/>
      <c r="F50" s="73"/>
      <c r="G50" s="73"/>
      <c r="H50" s="73"/>
      <c r="I50" s="73"/>
    </row>
    <row r="51" customFormat="false" ht="15.75" hidden="false" customHeight="false" outlineLevel="0" collapsed="false">
      <c r="A51" s="47" t="s">
        <v>55</v>
      </c>
      <c r="B51" s="47"/>
      <c r="C51" s="47"/>
      <c r="D51" s="47"/>
      <c r="E51" s="47"/>
      <c r="F51" s="47"/>
      <c r="G51" s="47"/>
      <c r="H51" s="47"/>
      <c r="I51" s="47"/>
    </row>
    <row r="52" customFormat="false" ht="15.75" hidden="false" customHeight="false" outlineLevel="0" collapsed="false">
      <c r="A52" s="62" t="n">
        <v>3</v>
      </c>
      <c r="B52" s="63" t="s">
        <v>56</v>
      </c>
      <c r="C52" s="63"/>
      <c r="D52" s="63"/>
      <c r="E52" s="63"/>
      <c r="F52" s="63"/>
      <c r="G52" s="63"/>
      <c r="H52" s="63"/>
      <c r="I52" s="272" t="s">
        <v>35</v>
      </c>
    </row>
    <row r="53" customFormat="false" ht="15.75" hidden="false" customHeight="false" outlineLevel="0" collapsed="false">
      <c r="A53" s="64" t="s">
        <v>8</v>
      </c>
      <c r="B53" s="74" t="s">
        <v>208</v>
      </c>
      <c r="C53" s="74"/>
      <c r="D53" s="74"/>
      <c r="E53" s="74"/>
      <c r="F53" s="74"/>
      <c r="G53" s="74"/>
      <c r="H53" s="74"/>
      <c r="I53" s="282" t="n">
        <f aca="false">Dados!D6*2</f>
        <v>137.67625</v>
      </c>
      <c r="J53" s="76"/>
      <c r="K53" s="77"/>
    </row>
    <row r="54" customFormat="false" ht="15.75" hidden="false" customHeight="false" outlineLevel="0" collapsed="false">
      <c r="A54" s="60" t="s">
        <v>58</v>
      </c>
      <c r="B54" s="60"/>
      <c r="C54" s="60"/>
      <c r="D54" s="60"/>
      <c r="E54" s="60"/>
      <c r="F54" s="60"/>
      <c r="G54" s="60"/>
      <c r="H54" s="60"/>
      <c r="I54" s="283" t="n">
        <f aca="false">SUM(I53:I53)</f>
        <v>137.67625</v>
      </c>
    </row>
    <row r="55" customFormat="false" ht="15.75" hidden="false" customHeight="false" outlineLevel="0" collapsed="false">
      <c r="A55" s="47" t="s">
        <v>59</v>
      </c>
      <c r="B55" s="47"/>
      <c r="C55" s="47"/>
      <c r="D55" s="47"/>
      <c r="E55" s="47"/>
      <c r="F55" s="47"/>
      <c r="G55" s="47"/>
      <c r="H55" s="47"/>
      <c r="I55" s="47"/>
    </row>
    <row r="56" customFormat="false" ht="15.75" hidden="false" customHeight="false" outlineLevel="0" collapsed="false">
      <c r="A56" s="79" t="s">
        <v>60</v>
      </c>
      <c r="B56" s="79"/>
      <c r="C56" s="79"/>
      <c r="D56" s="79"/>
      <c r="E56" s="79"/>
      <c r="F56" s="79"/>
      <c r="G56" s="79"/>
      <c r="H56" s="79"/>
      <c r="I56" s="79"/>
    </row>
    <row r="57" customFormat="false" ht="15.75" hidden="false" customHeight="false" outlineLevel="0" collapsed="false">
      <c r="A57" s="62" t="s">
        <v>61</v>
      </c>
      <c r="B57" s="80" t="s">
        <v>62</v>
      </c>
      <c r="C57" s="80"/>
      <c r="D57" s="80"/>
      <c r="E57" s="80"/>
      <c r="F57" s="80"/>
      <c r="G57" s="80"/>
      <c r="H57" s="81" t="s">
        <v>63</v>
      </c>
      <c r="I57" s="272" t="s">
        <v>35</v>
      </c>
    </row>
    <row r="58" customFormat="false" ht="15.75" hidden="false" customHeight="false" outlineLevel="0" collapsed="false">
      <c r="A58" s="82" t="s">
        <v>8</v>
      </c>
      <c r="B58" s="83" t="s">
        <v>64</v>
      </c>
      <c r="C58" s="83"/>
      <c r="D58" s="83"/>
      <c r="E58" s="83"/>
      <c r="F58" s="83"/>
      <c r="G58" s="83"/>
      <c r="H58" s="84" t="n">
        <v>0.2</v>
      </c>
      <c r="I58" s="273" t="n">
        <f aca="false">ROUND(($I$40-$I$38)*H58,2)</f>
        <v>359.69</v>
      </c>
      <c r="K58" s="66"/>
    </row>
    <row r="59" customFormat="false" ht="15.75" hidden="false" customHeight="false" outlineLevel="0" collapsed="false">
      <c r="A59" s="82" t="s">
        <v>10</v>
      </c>
      <c r="B59" s="83" t="s">
        <v>65</v>
      </c>
      <c r="C59" s="83"/>
      <c r="D59" s="83"/>
      <c r="E59" s="83"/>
      <c r="F59" s="83"/>
      <c r="G59" s="83"/>
      <c r="H59" s="85" t="n">
        <v>0.015</v>
      </c>
      <c r="I59" s="273" t="n">
        <f aca="false">ROUND(($I$40-$I$38)*H59,2)</f>
        <v>26.98</v>
      </c>
      <c r="K59" s="66"/>
    </row>
    <row r="60" customFormat="false" ht="15.75" hidden="false" customHeight="false" outlineLevel="0" collapsed="false">
      <c r="A60" s="82" t="s">
        <v>12</v>
      </c>
      <c r="B60" s="83" t="s">
        <v>66</v>
      </c>
      <c r="C60" s="83"/>
      <c r="D60" s="83"/>
      <c r="E60" s="83"/>
      <c r="F60" s="83"/>
      <c r="G60" s="83"/>
      <c r="H60" s="84" t="n">
        <v>0.01</v>
      </c>
      <c r="I60" s="273" t="n">
        <f aca="false">ROUND(($I$40-$I$38)*H60,2)</f>
        <v>17.98</v>
      </c>
      <c r="K60" s="66"/>
    </row>
    <row r="61" customFormat="false" ht="15.75" hidden="false" customHeight="false" outlineLevel="0" collapsed="false">
      <c r="A61" s="82" t="s">
        <v>14</v>
      </c>
      <c r="B61" s="83" t="s">
        <v>67</v>
      </c>
      <c r="C61" s="83"/>
      <c r="D61" s="83"/>
      <c r="E61" s="83"/>
      <c r="F61" s="83"/>
      <c r="G61" s="83"/>
      <c r="H61" s="86" t="n">
        <v>0.002</v>
      </c>
      <c r="I61" s="273" t="n">
        <f aca="false">ROUND(($I$40-$I$38)*H61,2)</f>
        <v>3.6</v>
      </c>
      <c r="K61" s="66"/>
    </row>
    <row r="62" customFormat="false" ht="15.75" hidden="false" customHeight="false" outlineLevel="0" collapsed="false">
      <c r="A62" s="82" t="s">
        <v>40</v>
      </c>
      <c r="B62" s="83" t="s">
        <v>68</v>
      </c>
      <c r="C62" s="83"/>
      <c r="D62" s="83"/>
      <c r="E62" s="83"/>
      <c r="F62" s="83"/>
      <c r="G62" s="83"/>
      <c r="H62" s="86" t="n">
        <v>0.025</v>
      </c>
      <c r="I62" s="273" t="n">
        <f aca="false">ROUND(($I$40-$I$38)*H62,2)</f>
        <v>44.96</v>
      </c>
      <c r="K62" s="66"/>
    </row>
    <row r="63" customFormat="false" ht="15.75" hidden="false" customHeight="false" outlineLevel="0" collapsed="false">
      <c r="A63" s="82" t="s">
        <v>42</v>
      </c>
      <c r="B63" s="83" t="s">
        <v>69</v>
      </c>
      <c r="C63" s="83"/>
      <c r="D63" s="83"/>
      <c r="E63" s="83"/>
      <c r="F63" s="83"/>
      <c r="G63" s="83"/>
      <c r="H63" s="84" t="n">
        <v>0.08</v>
      </c>
      <c r="I63" s="273" t="n">
        <f aca="false">ROUND(($I$40-$I$38)*H63,2)</f>
        <v>143.88</v>
      </c>
      <c r="K63" s="66"/>
    </row>
    <row r="64" customFormat="false" ht="15.75" hidden="false" customHeight="false" outlineLevel="0" collapsed="false">
      <c r="A64" s="82" t="s">
        <v>70</v>
      </c>
      <c r="B64" s="87" t="s">
        <v>71</v>
      </c>
      <c r="C64" s="87"/>
      <c r="D64" s="87"/>
      <c r="E64" s="87"/>
      <c r="F64" s="88" t="s">
        <v>72</v>
      </c>
      <c r="G64" s="89" t="s">
        <v>196</v>
      </c>
      <c r="H64" s="86" t="n">
        <v>0.015</v>
      </c>
      <c r="I64" s="273" t="n">
        <f aca="false">ROUND(($I$40-$I$38)*H64,2)</f>
        <v>26.98</v>
      </c>
      <c r="K64" s="66"/>
    </row>
    <row r="65" customFormat="false" ht="15.75" hidden="false" customHeight="false" outlineLevel="0" collapsed="false">
      <c r="A65" s="82" t="s">
        <v>74</v>
      </c>
      <c r="B65" s="83" t="s">
        <v>75</v>
      </c>
      <c r="C65" s="83"/>
      <c r="D65" s="83"/>
      <c r="E65" s="83"/>
      <c r="F65" s="83"/>
      <c r="G65" s="83"/>
      <c r="H65" s="86" t="n">
        <v>0.006</v>
      </c>
      <c r="I65" s="273" t="n">
        <f aca="false">ROUND(($I$40-$I$38)*H65,2)</f>
        <v>10.79</v>
      </c>
      <c r="K65" s="66"/>
    </row>
    <row r="66" customFormat="false" ht="15.75" hidden="false" customHeight="false" outlineLevel="0" collapsed="false">
      <c r="A66" s="90" t="s">
        <v>76</v>
      </c>
      <c r="B66" s="90"/>
      <c r="C66" s="90"/>
      <c r="D66" s="90"/>
      <c r="E66" s="90"/>
      <c r="F66" s="90"/>
      <c r="G66" s="90"/>
      <c r="H66" s="91" t="n">
        <f aca="false">SUM(H58:H65)</f>
        <v>0.353</v>
      </c>
      <c r="I66" s="284" t="n">
        <f aca="false">SUM(I58:I65)</f>
        <v>634.86</v>
      </c>
      <c r="K66" s="66"/>
    </row>
    <row r="67" customFormat="false" ht="15.75" hidden="false" customHeight="false" outlineLevel="0" collapsed="false">
      <c r="A67" s="93" t="s">
        <v>77</v>
      </c>
      <c r="B67" s="93"/>
      <c r="C67" s="93"/>
      <c r="D67" s="93"/>
      <c r="E67" s="93"/>
      <c r="F67" s="93"/>
      <c r="G67" s="93"/>
      <c r="H67" s="93"/>
      <c r="I67" s="93"/>
    </row>
    <row r="68" customFormat="false" ht="15.75" hidden="false" customHeight="false" outlineLevel="0" collapsed="false">
      <c r="A68" s="94" t="s">
        <v>78</v>
      </c>
      <c r="B68" s="94"/>
      <c r="C68" s="94"/>
      <c r="D68" s="94"/>
      <c r="E68" s="94"/>
      <c r="F68" s="94"/>
      <c r="G68" s="94"/>
      <c r="H68" s="94"/>
      <c r="I68" s="94"/>
    </row>
    <row r="69" customFormat="false" ht="15.75" hidden="false" customHeight="false" outlineLevel="0" collapsed="false">
      <c r="A69" s="79" t="s">
        <v>79</v>
      </c>
      <c r="B69" s="79"/>
      <c r="C69" s="79"/>
      <c r="D69" s="79"/>
      <c r="E69" s="79"/>
      <c r="F69" s="79"/>
      <c r="G69" s="79"/>
      <c r="H69" s="79"/>
      <c r="I69" s="79"/>
    </row>
    <row r="70" customFormat="false" ht="15.75" hidden="false" customHeight="false" outlineLevel="0" collapsed="false">
      <c r="A70" s="62" t="s">
        <v>80</v>
      </c>
      <c r="B70" s="81" t="s">
        <v>81</v>
      </c>
      <c r="C70" s="81"/>
      <c r="D70" s="81"/>
      <c r="E70" s="81"/>
      <c r="F70" s="81"/>
      <c r="G70" s="81"/>
      <c r="H70" s="81"/>
      <c r="I70" s="272" t="s">
        <v>35</v>
      </c>
    </row>
    <row r="71" customFormat="false" ht="34.5" hidden="false" customHeight="true" outlineLevel="0" collapsed="false">
      <c r="A71" s="17" t="s">
        <v>8</v>
      </c>
      <c r="B71" s="95" t="s">
        <v>82</v>
      </c>
      <c r="C71" s="95"/>
      <c r="D71" s="95"/>
      <c r="E71" s="95"/>
      <c r="F71" s="95"/>
      <c r="G71" s="95"/>
      <c r="H71" s="95"/>
      <c r="I71" s="285" t="n">
        <f aca="false">ROUND(I40/12,2)</f>
        <v>157.66</v>
      </c>
      <c r="K71" s="66"/>
    </row>
    <row r="72" customFormat="false" ht="15.75" hidden="false" customHeight="false" outlineLevel="0" collapsed="false">
      <c r="A72" s="97" t="s">
        <v>83</v>
      </c>
      <c r="B72" s="97"/>
      <c r="C72" s="97"/>
      <c r="D72" s="97"/>
      <c r="E72" s="97"/>
      <c r="F72" s="97"/>
      <c r="G72" s="97"/>
      <c r="H72" s="97"/>
      <c r="I72" s="273" t="n">
        <f aca="false">SUM(I71:I71)</f>
        <v>157.66</v>
      </c>
      <c r="K72" s="66"/>
    </row>
    <row r="73" customFormat="false" ht="15.75" hidden="false" customHeight="false" outlineLevel="0" collapsed="false">
      <c r="A73" s="17" t="s">
        <v>10</v>
      </c>
      <c r="B73" s="83" t="s">
        <v>84</v>
      </c>
      <c r="C73" s="83"/>
      <c r="D73" s="83"/>
      <c r="E73" s="83"/>
      <c r="F73" s="83"/>
      <c r="G73" s="83"/>
      <c r="H73" s="83"/>
      <c r="I73" s="273" t="n">
        <f aca="false">ROUND(I72*H66,2)</f>
        <v>55.65</v>
      </c>
      <c r="K73" s="66"/>
    </row>
    <row r="74" customFormat="false" ht="15.75" hidden="false" customHeight="false" outlineLevel="0" collapsed="false">
      <c r="A74" s="60" t="s">
        <v>76</v>
      </c>
      <c r="B74" s="60"/>
      <c r="C74" s="60"/>
      <c r="D74" s="60"/>
      <c r="E74" s="60"/>
      <c r="F74" s="60"/>
      <c r="G74" s="60"/>
      <c r="H74" s="60"/>
      <c r="I74" s="275" t="n">
        <f aca="false">SUM(I72:I73)</f>
        <v>213.31</v>
      </c>
      <c r="K74" s="66"/>
    </row>
    <row r="75" customFormat="false" ht="15.75" hidden="false" customHeight="false" outlineLevel="0" collapsed="false">
      <c r="A75" s="79" t="s">
        <v>85</v>
      </c>
      <c r="B75" s="79"/>
      <c r="C75" s="79"/>
      <c r="D75" s="79"/>
      <c r="E75" s="79"/>
      <c r="F75" s="79"/>
      <c r="G75" s="79"/>
      <c r="H75" s="79"/>
      <c r="I75" s="79"/>
    </row>
    <row r="76" customFormat="false" ht="15.75" hidden="false" customHeight="false" outlineLevel="0" collapsed="false">
      <c r="A76" s="62" t="s">
        <v>86</v>
      </c>
      <c r="B76" s="81" t="s">
        <v>87</v>
      </c>
      <c r="C76" s="81"/>
      <c r="D76" s="81"/>
      <c r="E76" s="81"/>
      <c r="F76" s="81"/>
      <c r="G76" s="81"/>
      <c r="H76" s="81"/>
      <c r="I76" s="272" t="s">
        <v>35</v>
      </c>
    </row>
    <row r="77" customFormat="false" ht="15.75" hidden="false" customHeight="false" outlineLevel="0" collapsed="false">
      <c r="A77" s="17" t="s">
        <v>8</v>
      </c>
      <c r="B77" s="52" t="s">
        <v>88</v>
      </c>
      <c r="C77" s="52"/>
      <c r="D77" s="52"/>
      <c r="E77" s="52"/>
      <c r="F77" s="52"/>
      <c r="G77" s="52"/>
      <c r="H77" s="52"/>
      <c r="I77" s="282" t="n">
        <f aca="false">ROUND((((I40+I40/3)*(4/12))/12)*0.02,2)</f>
        <v>1.4</v>
      </c>
    </row>
    <row r="78" customFormat="false" ht="15.75" hidden="false" customHeight="false" outlineLevel="0" collapsed="false">
      <c r="A78" s="17" t="s">
        <v>10</v>
      </c>
      <c r="B78" s="83" t="s">
        <v>89</v>
      </c>
      <c r="C78" s="83"/>
      <c r="D78" s="83"/>
      <c r="E78" s="83"/>
      <c r="F78" s="83"/>
      <c r="G78" s="83"/>
      <c r="H78" s="83"/>
      <c r="I78" s="282" t="n">
        <f aca="false">I77*H66</f>
        <v>0.4942</v>
      </c>
    </row>
    <row r="79" customFormat="false" ht="15.75" hidden="false" customHeight="false" outlineLevel="0" collapsed="false">
      <c r="A79" s="60" t="s">
        <v>76</v>
      </c>
      <c r="B79" s="60"/>
      <c r="C79" s="60"/>
      <c r="D79" s="60"/>
      <c r="E79" s="60"/>
      <c r="F79" s="60"/>
      <c r="G79" s="60"/>
      <c r="H79" s="60"/>
      <c r="I79" s="275" t="n">
        <f aca="false">SUM(I77:I78)</f>
        <v>1.8942</v>
      </c>
    </row>
    <row r="80" customFormat="false" ht="15.75" hidden="false" customHeight="false" outlineLevel="0" collapsed="false">
      <c r="A80" s="79" t="s">
        <v>90</v>
      </c>
      <c r="B80" s="79"/>
      <c r="C80" s="79"/>
      <c r="D80" s="79"/>
      <c r="E80" s="79"/>
      <c r="F80" s="79"/>
      <c r="G80" s="79"/>
      <c r="H80" s="79"/>
      <c r="I80" s="79"/>
    </row>
    <row r="81" customFormat="false" ht="15.75" hidden="false" customHeight="false" outlineLevel="0" collapsed="false">
      <c r="A81" s="62" t="s">
        <v>91</v>
      </c>
      <c r="B81" s="81" t="s">
        <v>92</v>
      </c>
      <c r="C81" s="81"/>
      <c r="D81" s="81"/>
      <c r="E81" s="81"/>
      <c r="F81" s="81"/>
      <c r="G81" s="81"/>
      <c r="H81" s="81"/>
      <c r="I81" s="272" t="s">
        <v>35</v>
      </c>
    </row>
    <row r="82" customFormat="false" ht="15.75" hidden="false" customHeight="true" outlineLevel="0" collapsed="false">
      <c r="A82" s="17" t="s">
        <v>8</v>
      </c>
      <c r="B82" s="99" t="s">
        <v>93</v>
      </c>
      <c r="C82" s="99"/>
      <c r="D82" s="99"/>
      <c r="E82" s="99"/>
      <c r="F82" s="99"/>
      <c r="G82" s="99"/>
      <c r="H82" s="99"/>
      <c r="I82" s="273" t="n">
        <f aca="false">ROUND((I40/12)*(30/30)*0.05,2)</f>
        <v>7.88</v>
      </c>
    </row>
    <row r="83" customFormat="false" ht="15.75" hidden="false" customHeight="true" outlineLevel="0" collapsed="false">
      <c r="A83" s="17" t="s">
        <v>10</v>
      </c>
      <c r="B83" s="83" t="s">
        <v>94</v>
      </c>
      <c r="C83" s="83"/>
      <c r="D83" s="83"/>
      <c r="E83" s="83"/>
      <c r="F83" s="83"/>
      <c r="G83" s="83"/>
      <c r="H83" s="83"/>
      <c r="I83" s="273" t="n">
        <f aca="false">ROUND(I82*H63,2)</f>
        <v>0.63</v>
      </c>
    </row>
    <row r="84" customFormat="false" ht="49.5" hidden="false" customHeight="true" outlineLevel="0" collapsed="false">
      <c r="A84" s="17" t="s">
        <v>12</v>
      </c>
      <c r="B84" s="95" t="s">
        <v>95</v>
      </c>
      <c r="C84" s="95"/>
      <c r="D84" s="95"/>
      <c r="E84" s="95"/>
      <c r="F84" s="95"/>
      <c r="G84" s="95"/>
      <c r="H84" s="95"/>
      <c r="I84" s="285" t="n">
        <f aca="false">ROUND(0.0024*I40,2)</f>
        <v>4.54</v>
      </c>
      <c r="K84" s="66"/>
    </row>
    <row r="85" customFormat="false" ht="30.75" hidden="false" customHeight="true" outlineLevel="0" collapsed="false">
      <c r="A85" s="100" t="s">
        <v>14</v>
      </c>
      <c r="B85" s="99" t="s">
        <v>96</v>
      </c>
      <c r="C85" s="99"/>
      <c r="D85" s="99"/>
      <c r="E85" s="99"/>
      <c r="F85" s="99"/>
      <c r="G85" s="99"/>
      <c r="H85" s="99"/>
      <c r="I85" s="207" t="n">
        <v>0</v>
      </c>
      <c r="N85" s="101"/>
    </row>
    <row r="86" customFormat="false" ht="18" hidden="false" customHeight="true" outlineLevel="0" collapsed="false">
      <c r="A86" s="17" t="s">
        <v>40</v>
      </c>
      <c r="B86" s="83" t="s">
        <v>97</v>
      </c>
      <c r="C86" s="83"/>
      <c r="D86" s="83"/>
      <c r="E86" s="83"/>
      <c r="F86" s="83"/>
      <c r="G86" s="83"/>
      <c r="H86" s="83"/>
      <c r="I86" s="273" t="n">
        <f aca="false">ROUND(I85*H66,2)</f>
        <v>0</v>
      </c>
      <c r="J86" s="13"/>
      <c r="K86" s="13"/>
      <c r="L86" s="102"/>
    </row>
    <row r="87" customFormat="false" ht="48.75" hidden="false" customHeight="true" outlineLevel="0" collapsed="false">
      <c r="A87" s="17" t="s">
        <v>42</v>
      </c>
      <c r="B87" s="95" t="s">
        <v>98</v>
      </c>
      <c r="C87" s="95"/>
      <c r="D87" s="95"/>
      <c r="E87" s="95"/>
      <c r="F87" s="95"/>
      <c r="G87" s="95"/>
      <c r="H87" s="95"/>
      <c r="I87" s="285" t="n">
        <f aca="false">ROUND(0.0476*I40,2)</f>
        <v>90.05</v>
      </c>
      <c r="J87" s="13"/>
      <c r="K87" s="66"/>
      <c r="L87" s="13"/>
    </row>
    <row r="88" customFormat="false" ht="20.25" hidden="false" customHeight="true" outlineLevel="0" collapsed="false">
      <c r="A88" s="60" t="s">
        <v>76</v>
      </c>
      <c r="B88" s="60"/>
      <c r="C88" s="60"/>
      <c r="D88" s="60"/>
      <c r="E88" s="60"/>
      <c r="F88" s="60"/>
      <c r="G88" s="60"/>
      <c r="H88" s="60"/>
      <c r="I88" s="275" t="n">
        <f aca="false">SUM(I82:I87)</f>
        <v>103.1</v>
      </c>
    </row>
    <row r="89" customFormat="false" ht="20.25" hidden="false" customHeight="true" outlineLevel="0" collapsed="false">
      <c r="A89" s="79" t="s">
        <v>99</v>
      </c>
      <c r="B89" s="79"/>
      <c r="C89" s="79"/>
      <c r="D89" s="79"/>
      <c r="E89" s="79"/>
      <c r="F89" s="79"/>
      <c r="G89" s="79"/>
      <c r="H89" s="79"/>
      <c r="I89" s="79"/>
    </row>
    <row r="90" customFormat="false" ht="15.75" hidden="false" customHeight="false" outlineLevel="0" collapsed="false">
      <c r="A90" s="62" t="s">
        <v>100</v>
      </c>
      <c r="B90" s="81" t="s">
        <v>101</v>
      </c>
      <c r="C90" s="81"/>
      <c r="D90" s="81"/>
      <c r="E90" s="81"/>
      <c r="F90" s="81"/>
      <c r="G90" s="81"/>
      <c r="H90" s="81"/>
      <c r="I90" s="272" t="s">
        <v>35</v>
      </c>
    </row>
    <row r="91" customFormat="false" ht="49.5" hidden="false" customHeight="true" outlineLevel="0" collapsed="false">
      <c r="A91" s="17" t="s">
        <v>8</v>
      </c>
      <c r="B91" s="95" t="s">
        <v>102</v>
      </c>
      <c r="C91" s="95"/>
      <c r="D91" s="95"/>
      <c r="E91" s="95"/>
      <c r="F91" s="95"/>
      <c r="G91" s="95"/>
      <c r="H91" s="95"/>
      <c r="I91" s="285" t="n">
        <f aca="false">ROUND(0.121*I40,2)</f>
        <v>228.92</v>
      </c>
      <c r="K91" s="66"/>
    </row>
    <row r="92" customFormat="false" ht="17.25" hidden="false" customHeight="true" outlineLevel="0" collapsed="false">
      <c r="A92" s="17" t="s">
        <v>10</v>
      </c>
      <c r="B92" s="52" t="s">
        <v>103</v>
      </c>
      <c r="C92" s="52"/>
      <c r="D92" s="52"/>
      <c r="E92" s="52"/>
      <c r="F92" s="52"/>
      <c r="G92" s="52"/>
      <c r="H92" s="52"/>
      <c r="I92" s="273" t="n">
        <f aca="false">ROUND(((I40/30)*5)/12,2)</f>
        <v>26.28</v>
      </c>
    </row>
    <row r="93" customFormat="false" ht="16.5" hidden="false" customHeight="true" outlineLevel="0" collapsed="false">
      <c r="A93" s="17" t="s">
        <v>12</v>
      </c>
      <c r="B93" s="52" t="s">
        <v>104</v>
      </c>
      <c r="C93" s="52"/>
      <c r="D93" s="52"/>
      <c r="E93" s="52"/>
      <c r="F93" s="52"/>
      <c r="G93" s="52"/>
      <c r="H93" s="52"/>
      <c r="I93" s="273" t="n">
        <f aca="false">ROUND((((I40/30)*5)/12)*0.015,2)</f>
        <v>0.39</v>
      </c>
    </row>
    <row r="94" customFormat="false" ht="17.25" hidden="false" customHeight="true" outlineLevel="0" collapsed="false">
      <c r="A94" s="17" t="s">
        <v>14</v>
      </c>
      <c r="B94" s="52" t="s">
        <v>105</v>
      </c>
      <c r="C94" s="52"/>
      <c r="D94" s="52"/>
      <c r="E94" s="52"/>
      <c r="F94" s="52"/>
      <c r="G94" s="52"/>
      <c r="H94" s="52"/>
      <c r="I94" s="273" t="n">
        <f aca="false">ROUND(((I40/30)*2.96)/12,2)</f>
        <v>15.56</v>
      </c>
    </row>
    <row r="95" customFormat="false" ht="16.5" hidden="false" customHeight="true" outlineLevel="0" collapsed="false">
      <c r="A95" s="17" t="s">
        <v>40</v>
      </c>
      <c r="B95" s="52" t="s">
        <v>106</v>
      </c>
      <c r="C95" s="52"/>
      <c r="D95" s="52"/>
      <c r="E95" s="52"/>
      <c r="F95" s="52"/>
      <c r="G95" s="52"/>
      <c r="H95" s="52"/>
      <c r="I95" s="273" t="n">
        <f aca="false">ROUND((((I40/30)*15)/12)*0.0078,2)</f>
        <v>0.61</v>
      </c>
    </row>
    <row r="96" customFormat="false" ht="15.75" hidden="false" customHeight="false" outlineLevel="0" collapsed="false">
      <c r="A96" s="97" t="s">
        <v>83</v>
      </c>
      <c r="B96" s="97"/>
      <c r="C96" s="97"/>
      <c r="D96" s="97"/>
      <c r="E96" s="97"/>
      <c r="F96" s="97"/>
      <c r="G96" s="97"/>
      <c r="H96" s="97"/>
      <c r="I96" s="281" t="n">
        <f aca="false">SUM(I91:I95)</f>
        <v>271.76</v>
      </c>
      <c r="K96" s="66"/>
    </row>
    <row r="97" customFormat="false" ht="18" hidden="false" customHeight="true" outlineLevel="0" collapsed="false">
      <c r="A97" s="17" t="s">
        <v>70</v>
      </c>
      <c r="B97" s="83" t="s">
        <v>107</v>
      </c>
      <c r="C97" s="83"/>
      <c r="D97" s="83"/>
      <c r="E97" s="83"/>
      <c r="F97" s="83"/>
      <c r="G97" s="83"/>
      <c r="H97" s="83"/>
      <c r="I97" s="286" t="n">
        <f aca="false">ROUND(I96*H66,2)</f>
        <v>95.93</v>
      </c>
      <c r="K97" s="66"/>
    </row>
    <row r="98" customFormat="false" ht="18.75" hidden="false" customHeight="true" outlineLevel="0" collapsed="false">
      <c r="A98" s="60" t="s">
        <v>76</v>
      </c>
      <c r="B98" s="60"/>
      <c r="C98" s="60"/>
      <c r="D98" s="60"/>
      <c r="E98" s="60"/>
      <c r="F98" s="60"/>
      <c r="G98" s="60"/>
      <c r="H98" s="60"/>
      <c r="I98" s="275" t="n">
        <f aca="false">SUM(I96+I97)</f>
        <v>367.69</v>
      </c>
      <c r="K98" s="66"/>
    </row>
    <row r="99" customFormat="false" ht="15.75" hidden="false" customHeight="false" outlineLevel="0" collapsed="false">
      <c r="A99" s="104" t="s">
        <v>108</v>
      </c>
      <c r="B99" s="104"/>
      <c r="C99" s="104"/>
      <c r="D99" s="104"/>
      <c r="E99" s="104"/>
      <c r="F99" s="104"/>
      <c r="G99" s="104"/>
      <c r="H99" s="104"/>
      <c r="I99" s="104"/>
    </row>
    <row r="100" customFormat="false" ht="15.75" hidden="false" customHeight="false" outlineLevel="0" collapsed="false">
      <c r="A100" s="62" t="n">
        <v>4</v>
      </c>
      <c r="B100" s="81" t="s">
        <v>109</v>
      </c>
      <c r="C100" s="81"/>
      <c r="D100" s="81"/>
      <c r="E100" s="81"/>
      <c r="F100" s="81"/>
      <c r="G100" s="81"/>
      <c r="H100" s="81"/>
      <c r="I100" s="272" t="s">
        <v>35</v>
      </c>
    </row>
    <row r="101" customFormat="false" ht="15.75" hidden="false" customHeight="false" outlineLevel="0" collapsed="false">
      <c r="A101" s="17" t="s">
        <v>61</v>
      </c>
      <c r="B101" s="83" t="s">
        <v>62</v>
      </c>
      <c r="C101" s="83"/>
      <c r="D101" s="83"/>
      <c r="E101" s="83"/>
      <c r="F101" s="83"/>
      <c r="G101" s="83"/>
      <c r="H101" s="83"/>
      <c r="I101" s="282" t="n">
        <f aca="false">I66</f>
        <v>634.86</v>
      </c>
    </row>
    <row r="102" customFormat="false" ht="15.75" hidden="false" customHeight="false" outlineLevel="0" collapsed="false">
      <c r="A102" s="17" t="s">
        <v>80</v>
      </c>
      <c r="B102" s="83" t="s">
        <v>110</v>
      </c>
      <c r="C102" s="83"/>
      <c r="D102" s="83"/>
      <c r="E102" s="83"/>
      <c r="F102" s="83"/>
      <c r="G102" s="83"/>
      <c r="H102" s="83"/>
      <c r="I102" s="282" t="n">
        <f aca="false">I74</f>
        <v>213.31</v>
      </c>
    </row>
    <row r="103" customFormat="false" ht="15.75" hidden="false" customHeight="false" outlineLevel="0" collapsed="false">
      <c r="A103" s="17" t="s">
        <v>86</v>
      </c>
      <c r="B103" s="83" t="s">
        <v>87</v>
      </c>
      <c r="C103" s="83"/>
      <c r="D103" s="83"/>
      <c r="E103" s="83"/>
      <c r="F103" s="83"/>
      <c r="G103" s="83"/>
      <c r="H103" s="83"/>
      <c r="I103" s="282" t="n">
        <f aca="false">I79</f>
        <v>1.8942</v>
      </c>
    </row>
    <row r="104" customFormat="false" ht="15.75" hidden="false" customHeight="false" outlineLevel="0" collapsed="false">
      <c r="A104" s="17" t="s">
        <v>91</v>
      </c>
      <c r="B104" s="83" t="s">
        <v>111</v>
      </c>
      <c r="C104" s="83"/>
      <c r="D104" s="83"/>
      <c r="E104" s="83"/>
      <c r="F104" s="83"/>
      <c r="G104" s="83"/>
      <c r="H104" s="83"/>
      <c r="I104" s="282" t="n">
        <f aca="false">I88</f>
        <v>103.1</v>
      </c>
    </row>
    <row r="105" customFormat="false" ht="15.75" hidden="false" customHeight="false" outlineLevel="0" collapsed="false">
      <c r="A105" s="17" t="s">
        <v>100</v>
      </c>
      <c r="B105" s="83" t="s">
        <v>112</v>
      </c>
      <c r="C105" s="83"/>
      <c r="D105" s="83"/>
      <c r="E105" s="83"/>
      <c r="F105" s="83"/>
      <c r="G105" s="83"/>
      <c r="H105" s="83"/>
      <c r="I105" s="282" t="n">
        <f aca="false">I98</f>
        <v>367.69</v>
      </c>
    </row>
    <row r="106" customFormat="false" ht="15.75" hidden="false" customHeight="false" outlineLevel="0" collapsed="false">
      <c r="A106" s="60" t="s">
        <v>76</v>
      </c>
      <c r="B106" s="60"/>
      <c r="C106" s="60"/>
      <c r="D106" s="60"/>
      <c r="E106" s="60"/>
      <c r="F106" s="60"/>
      <c r="G106" s="60"/>
      <c r="H106" s="60"/>
      <c r="I106" s="275" t="n">
        <f aca="false">SUM(I101:I105)</f>
        <v>1320.8542</v>
      </c>
      <c r="K106" s="106"/>
    </row>
    <row r="107" customFormat="false" ht="16.5" hidden="false" customHeight="true" outlineLevel="0" collapsed="false">
      <c r="A107" s="107" t="s">
        <v>113</v>
      </c>
      <c r="B107" s="107"/>
      <c r="C107" s="107"/>
      <c r="D107" s="107"/>
      <c r="E107" s="107"/>
      <c r="F107" s="107"/>
      <c r="G107" s="107"/>
      <c r="H107" s="107"/>
      <c r="I107" s="107"/>
    </row>
    <row r="108" customFormat="false" ht="15.75" hidden="false" customHeight="false" outlineLevel="0" collapsed="false">
      <c r="A108" s="62" t="n">
        <v>5</v>
      </c>
      <c r="B108" s="63" t="s">
        <v>114</v>
      </c>
      <c r="C108" s="63"/>
      <c r="D108" s="63"/>
      <c r="E108" s="63"/>
      <c r="F108" s="63"/>
      <c r="G108" s="63"/>
      <c r="H108" s="108" t="s">
        <v>63</v>
      </c>
      <c r="I108" s="272" t="s">
        <v>35</v>
      </c>
    </row>
    <row r="109" customFormat="false" ht="45" hidden="false" customHeight="true" outlineLevel="0" collapsed="false">
      <c r="A109" s="109" t="s">
        <v>115</v>
      </c>
      <c r="B109" s="109"/>
      <c r="C109" s="109"/>
      <c r="D109" s="109"/>
      <c r="E109" s="109"/>
      <c r="F109" s="109"/>
      <c r="G109" s="109"/>
      <c r="H109" s="110" t="n">
        <v>0</v>
      </c>
      <c r="I109" s="287" t="n">
        <f aca="false">(I40+I49+I54+I106)</f>
        <v>3868.20845</v>
      </c>
    </row>
    <row r="110" customFormat="false" ht="15.75" hidden="false" customHeight="false" outlineLevel="0" collapsed="false">
      <c r="A110" s="17" t="s">
        <v>8</v>
      </c>
      <c r="B110" s="83" t="s">
        <v>116</v>
      </c>
      <c r="C110" s="83"/>
      <c r="D110" s="83"/>
      <c r="E110" s="83"/>
      <c r="F110" s="83"/>
      <c r="G110" s="83"/>
      <c r="H110" s="112" t="n">
        <f aca="false">'São Borja 8.1'!H112</f>
        <v>0.1207</v>
      </c>
      <c r="I110" s="273" t="n">
        <f aca="false">ROUND(I109*H110,2)</f>
        <v>466.89</v>
      </c>
      <c r="J110" s="113"/>
    </row>
    <row r="111" customFormat="false" ht="43.5" hidden="false" customHeight="true" outlineLevel="0" collapsed="false">
      <c r="A111" s="109" t="s">
        <v>117</v>
      </c>
      <c r="B111" s="109"/>
      <c r="C111" s="109"/>
      <c r="D111" s="109"/>
      <c r="E111" s="109"/>
      <c r="F111" s="109"/>
      <c r="G111" s="109"/>
      <c r="H111" s="114" t="n">
        <v>0</v>
      </c>
      <c r="I111" s="288" t="n">
        <f aca="false">I109+I110</f>
        <v>4335.09845</v>
      </c>
      <c r="J111" s="113"/>
    </row>
    <row r="112" customFormat="false" ht="15.75" hidden="false" customHeight="false" outlineLevel="0" collapsed="false">
      <c r="A112" s="17" t="s">
        <v>10</v>
      </c>
      <c r="B112" s="83" t="s">
        <v>118</v>
      </c>
      <c r="C112" s="83"/>
      <c r="D112" s="83"/>
      <c r="E112" s="83"/>
      <c r="F112" s="83"/>
      <c r="G112" s="83"/>
      <c r="H112" s="112" t="n">
        <f aca="false">'São Borja 8.1'!H114</f>
        <v>0.0818</v>
      </c>
      <c r="I112" s="273" t="n">
        <f aca="false">ROUND(I111*H112,2)</f>
        <v>354.61</v>
      </c>
      <c r="J112" s="116"/>
    </row>
    <row r="113" customFormat="false" ht="47.25" hidden="false" customHeight="true" outlineLevel="0" collapsed="false">
      <c r="A113" s="109" t="s">
        <v>119</v>
      </c>
      <c r="B113" s="109"/>
      <c r="C113" s="109"/>
      <c r="D113" s="109"/>
      <c r="E113" s="109"/>
      <c r="F113" s="109"/>
      <c r="G113" s="109"/>
      <c r="H113" s="117" t="n">
        <v>0</v>
      </c>
      <c r="I113" s="289" t="n">
        <f aca="false">I111+I112</f>
        <v>4689.70845</v>
      </c>
      <c r="J113" s="116"/>
    </row>
    <row r="114" customFormat="false" ht="15.75" hidden="false" customHeight="false" outlineLevel="0" collapsed="false">
      <c r="A114" s="17" t="s">
        <v>12</v>
      </c>
      <c r="B114" s="83" t="s">
        <v>120</v>
      </c>
      <c r="C114" s="83"/>
      <c r="D114" s="83"/>
      <c r="E114" s="83"/>
      <c r="F114" s="83"/>
      <c r="G114" s="83"/>
      <c r="H114" s="119" t="s">
        <v>198</v>
      </c>
      <c r="I114" s="290" t="s">
        <v>198</v>
      </c>
      <c r="J114" s="116"/>
    </row>
    <row r="115" customFormat="false" ht="15.75" hidden="false" customHeight="false" outlineLevel="0" collapsed="false">
      <c r="A115" s="17"/>
      <c r="B115" s="83" t="s">
        <v>121</v>
      </c>
      <c r="C115" s="83"/>
      <c r="D115" s="83"/>
      <c r="E115" s="83"/>
      <c r="F115" s="83"/>
      <c r="G115" s="83"/>
      <c r="H115" s="119" t="s">
        <v>198</v>
      </c>
      <c r="I115" s="290" t="s">
        <v>198</v>
      </c>
    </row>
    <row r="116" customFormat="false" ht="28.5" hidden="false" customHeight="true" outlineLevel="0" collapsed="false">
      <c r="A116" s="17"/>
      <c r="B116" s="67" t="s">
        <v>199</v>
      </c>
      <c r="C116" s="67"/>
      <c r="D116" s="67"/>
      <c r="E116" s="67"/>
      <c r="F116" s="67"/>
      <c r="G116" s="67"/>
      <c r="H116" s="121" t="n">
        <v>0.03</v>
      </c>
      <c r="I116" s="273" t="n">
        <f aca="false">ROUND(($I$113/(1-H123))*H116,2)</f>
        <v>154.01</v>
      </c>
    </row>
    <row r="117" customFormat="false" ht="30.75" hidden="false" customHeight="true" outlineLevel="0" collapsed="false">
      <c r="A117" s="17"/>
      <c r="B117" s="67" t="s">
        <v>200</v>
      </c>
      <c r="C117" s="67"/>
      <c r="D117" s="67"/>
      <c r="E117" s="67"/>
      <c r="F117" s="67"/>
      <c r="G117" s="67"/>
      <c r="H117" s="121" t="n">
        <v>0.0065</v>
      </c>
      <c r="I117" s="273" t="n">
        <f aca="false">ROUND(($I$113/(1-H123))*H117,2)</f>
        <v>33.37</v>
      </c>
      <c r="K117" s="66"/>
    </row>
    <row r="118" customFormat="false" ht="28.5" hidden="false" customHeight="true" outlineLevel="0" collapsed="false">
      <c r="A118" s="17"/>
      <c r="B118" s="122" t="s">
        <v>124</v>
      </c>
      <c r="C118" s="122"/>
      <c r="D118" s="122"/>
      <c r="E118" s="122"/>
      <c r="F118" s="122"/>
      <c r="G118" s="122"/>
      <c r="H118" s="121" t="s">
        <v>198</v>
      </c>
      <c r="I118" s="290" t="s">
        <v>198</v>
      </c>
      <c r="K118" s="66"/>
    </row>
    <row r="119" customFormat="false" ht="15.75" hidden="false" customHeight="false" outlineLevel="0" collapsed="false">
      <c r="A119" s="17"/>
      <c r="B119" s="83" t="s">
        <v>125</v>
      </c>
      <c r="C119" s="83"/>
      <c r="D119" s="83"/>
      <c r="E119" s="83"/>
      <c r="F119" s="83"/>
      <c r="G119" s="83"/>
      <c r="H119" s="119" t="s">
        <v>198</v>
      </c>
      <c r="I119" s="290" t="s">
        <v>198</v>
      </c>
    </row>
    <row r="120" customFormat="false" ht="15.75" hidden="false" customHeight="false" outlineLevel="0" collapsed="false">
      <c r="A120" s="17"/>
      <c r="B120" s="83" t="s">
        <v>126</v>
      </c>
      <c r="C120" s="83"/>
      <c r="D120" s="83"/>
      <c r="E120" s="83"/>
      <c r="F120" s="83"/>
      <c r="G120" s="83"/>
      <c r="H120" s="119" t="s">
        <v>198</v>
      </c>
      <c r="I120" s="290" t="s">
        <v>198</v>
      </c>
      <c r="K120" s="66"/>
    </row>
    <row r="121" customFormat="false" ht="15.75" hidden="false" customHeight="false" outlineLevel="0" collapsed="false">
      <c r="A121" s="17"/>
      <c r="B121" s="74" t="s">
        <v>300</v>
      </c>
      <c r="C121" s="74"/>
      <c r="D121" s="74"/>
      <c r="E121" s="74"/>
      <c r="F121" s="74"/>
      <c r="G121" s="74"/>
      <c r="H121" s="124" t="n">
        <v>0.05</v>
      </c>
      <c r="I121" s="273" t="n">
        <f aca="false">ROUND(($I$113/(1-H123))*H121,2)</f>
        <v>256.69</v>
      </c>
    </row>
    <row r="122" customFormat="false" ht="15.75" hidden="false" customHeight="false" outlineLevel="0" collapsed="false">
      <c r="A122" s="125" t="s">
        <v>76</v>
      </c>
      <c r="B122" s="125"/>
      <c r="C122" s="125"/>
      <c r="D122" s="125"/>
      <c r="E122" s="125"/>
      <c r="F122" s="125"/>
      <c r="G122" s="125"/>
      <c r="H122" s="125"/>
      <c r="I122" s="291" t="n">
        <f aca="false">I110+I112+I116+I117+I121</f>
        <v>1265.57</v>
      </c>
    </row>
    <row r="123" customFormat="false" ht="15.75" hidden="false" customHeight="false" outlineLevel="0" collapsed="false">
      <c r="A123" s="127" t="s">
        <v>128</v>
      </c>
      <c r="B123" s="127"/>
      <c r="C123" s="127"/>
      <c r="D123" s="127"/>
      <c r="E123" s="127"/>
      <c r="F123" s="127"/>
      <c r="G123" s="127"/>
      <c r="H123" s="128" t="n">
        <f aca="false">SUM(H116:H121)</f>
        <v>0.0865</v>
      </c>
      <c r="I123" s="292" t="n">
        <f aca="false">SUM(I116+I117+I121)</f>
        <v>444.07</v>
      </c>
    </row>
    <row r="124" customFormat="false" ht="15.75" hidden="false" customHeight="false" outlineLevel="0" collapsed="false">
      <c r="A124" s="130" t="s">
        <v>129</v>
      </c>
      <c r="B124" s="130"/>
      <c r="C124" s="293" t="s">
        <v>130</v>
      </c>
      <c r="D124" s="293"/>
      <c r="E124" s="293"/>
      <c r="F124" s="293"/>
      <c r="G124" s="293"/>
      <c r="H124" s="293"/>
      <c r="I124" s="293"/>
    </row>
    <row r="125" customFormat="false" ht="15" hidden="false" customHeight="false" outlineLevel="0" collapsed="false">
      <c r="A125" s="130"/>
      <c r="B125" s="130"/>
      <c r="C125" s="294" t="s">
        <v>131</v>
      </c>
      <c r="D125" s="294"/>
      <c r="E125" s="294"/>
      <c r="F125" s="294"/>
      <c r="G125" s="294"/>
      <c r="H125" s="294"/>
      <c r="I125" s="294"/>
    </row>
    <row r="126" customFormat="false" ht="15.75" hidden="false" customHeight="false" outlineLevel="0" collapsed="false">
      <c r="A126" s="133" t="s">
        <v>132</v>
      </c>
      <c r="B126" s="133"/>
      <c r="C126" s="133"/>
      <c r="D126" s="133"/>
      <c r="E126" s="133"/>
      <c r="F126" s="133"/>
      <c r="G126" s="133"/>
      <c r="H126" s="133"/>
      <c r="I126" s="133"/>
    </row>
    <row r="127" customFormat="false" ht="15.75" hidden="false" customHeight="false" outlineLevel="0" collapsed="false">
      <c r="A127" s="94" t="s">
        <v>133</v>
      </c>
      <c r="B127" s="94"/>
      <c r="C127" s="94"/>
      <c r="D127" s="94"/>
      <c r="E127" s="94"/>
      <c r="F127" s="94"/>
      <c r="G127" s="94"/>
      <c r="H127" s="94"/>
      <c r="I127" s="94"/>
    </row>
    <row r="128" customFormat="false" ht="15.75" hidden="false" customHeight="false" outlineLevel="0" collapsed="false">
      <c r="A128" s="295"/>
      <c r="B128" s="295"/>
      <c r="C128" s="295"/>
      <c r="D128" s="295"/>
      <c r="E128" s="295"/>
      <c r="F128" s="295"/>
      <c r="G128" s="295"/>
      <c r="H128" s="295"/>
      <c r="I128" s="295"/>
    </row>
    <row r="129" customFormat="false" ht="15.75" hidden="false" customHeight="false" outlineLevel="0" collapsed="false">
      <c r="A129" s="33" t="s">
        <v>134</v>
      </c>
      <c r="B129" s="33"/>
      <c r="C129" s="33"/>
      <c r="D129" s="33"/>
      <c r="E129" s="33"/>
      <c r="F129" s="33"/>
      <c r="G129" s="33"/>
      <c r="H129" s="33"/>
      <c r="I129" s="33"/>
    </row>
    <row r="130" customFormat="false" ht="15.75" hidden="false" customHeight="false" outlineLevel="0" collapsed="false">
      <c r="A130" s="135" t="s">
        <v>135</v>
      </c>
      <c r="B130" s="135"/>
      <c r="C130" s="135"/>
      <c r="D130" s="135"/>
      <c r="E130" s="135"/>
      <c r="F130" s="135"/>
      <c r="G130" s="135"/>
      <c r="H130" s="135"/>
      <c r="I130" s="135"/>
    </row>
    <row r="131" customFormat="false" ht="15.75" hidden="false" customHeight="false" outlineLevel="0" collapsed="false">
      <c r="A131" s="136" t="s">
        <v>136</v>
      </c>
      <c r="B131" s="136"/>
      <c r="C131" s="136"/>
      <c r="D131" s="136"/>
      <c r="E131" s="136"/>
      <c r="F131" s="136"/>
      <c r="G131" s="136"/>
      <c r="H131" s="136"/>
      <c r="I131" s="296" t="s">
        <v>35</v>
      </c>
    </row>
    <row r="132" customFormat="false" ht="15.75" hidden="false" customHeight="false" outlineLevel="0" collapsed="false">
      <c r="A132" s="14" t="s">
        <v>8</v>
      </c>
      <c r="B132" s="15" t="s">
        <v>137</v>
      </c>
      <c r="C132" s="15"/>
      <c r="D132" s="15"/>
      <c r="E132" s="15"/>
      <c r="F132" s="15"/>
      <c r="G132" s="15"/>
      <c r="H132" s="15"/>
      <c r="I132" s="297" t="n">
        <f aca="false">I40</f>
        <v>1891.908</v>
      </c>
    </row>
    <row r="133" customFormat="false" ht="15.75" hidden="false" customHeight="false" outlineLevel="0" collapsed="false">
      <c r="A133" s="14" t="s">
        <v>10</v>
      </c>
      <c r="B133" s="15" t="s">
        <v>138</v>
      </c>
      <c r="C133" s="15"/>
      <c r="D133" s="15"/>
      <c r="E133" s="15"/>
      <c r="F133" s="15"/>
      <c r="G133" s="15"/>
      <c r="H133" s="15"/>
      <c r="I133" s="297" t="n">
        <f aca="false">I49</f>
        <v>517.77</v>
      </c>
    </row>
    <row r="134" customFormat="false" ht="15.75" hidden="false" customHeight="false" outlineLevel="0" collapsed="false">
      <c r="A134" s="14" t="s">
        <v>12</v>
      </c>
      <c r="B134" s="15" t="s">
        <v>139</v>
      </c>
      <c r="C134" s="15"/>
      <c r="D134" s="15"/>
      <c r="E134" s="15"/>
      <c r="F134" s="15"/>
      <c r="G134" s="15"/>
      <c r="H134" s="15"/>
      <c r="I134" s="298" t="n">
        <f aca="false">I54</f>
        <v>137.67625</v>
      </c>
    </row>
    <row r="135" customFormat="false" ht="15.75" hidden="false" customHeight="false" outlineLevel="0" collapsed="false">
      <c r="A135" s="14" t="s">
        <v>14</v>
      </c>
      <c r="B135" s="15" t="s">
        <v>109</v>
      </c>
      <c r="C135" s="15"/>
      <c r="D135" s="15"/>
      <c r="E135" s="15"/>
      <c r="F135" s="15"/>
      <c r="G135" s="15"/>
      <c r="H135" s="15"/>
      <c r="I135" s="297" t="n">
        <f aca="false">I106</f>
        <v>1320.8542</v>
      </c>
    </row>
    <row r="136" customFormat="false" ht="15.75" hidden="false" customHeight="false" outlineLevel="0" collapsed="false">
      <c r="A136" s="140" t="s">
        <v>140</v>
      </c>
      <c r="B136" s="140"/>
      <c r="C136" s="140"/>
      <c r="D136" s="140"/>
      <c r="E136" s="140"/>
      <c r="F136" s="140"/>
      <c r="G136" s="140"/>
      <c r="H136" s="140"/>
      <c r="I136" s="299" t="n">
        <f aca="false">SUM(I132:I135)</f>
        <v>3868.20845</v>
      </c>
    </row>
    <row r="137" customFormat="false" ht="15.75" hidden="false" customHeight="false" outlineLevel="0" collapsed="false">
      <c r="A137" s="14" t="s">
        <v>40</v>
      </c>
      <c r="B137" s="15" t="s">
        <v>141</v>
      </c>
      <c r="C137" s="15"/>
      <c r="D137" s="15"/>
      <c r="E137" s="15"/>
      <c r="F137" s="15"/>
      <c r="G137" s="15"/>
      <c r="H137" s="15"/>
      <c r="I137" s="297" t="n">
        <f aca="false">I122</f>
        <v>1265.57</v>
      </c>
    </row>
    <row r="138" customFormat="false" ht="15.75" hidden="false" customHeight="false" outlineLevel="0" collapsed="false">
      <c r="A138" s="143" t="s">
        <v>142</v>
      </c>
      <c r="B138" s="143"/>
      <c r="C138" s="143"/>
      <c r="D138" s="143"/>
      <c r="E138" s="143"/>
      <c r="F138" s="143"/>
      <c r="G138" s="143"/>
      <c r="H138" s="143"/>
      <c r="I138" s="300" t="n">
        <f aca="false">SUM(I136+I137)</f>
        <v>5133.77845</v>
      </c>
    </row>
    <row r="139" customFormat="false" ht="15.75" hidden="false" customHeight="false" outlineLevel="0" collapsed="false">
      <c r="A139" s="301"/>
      <c r="B139" s="301"/>
      <c r="C139" s="301"/>
      <c r="D139" s="301"/>
      <c r="E139" s="301"/>
      <c r="F139" s="301"/>
      <c r="G139" s="301"/>
      <c r="H139" s="301"/>
      <c r="I139" s="301"/>
    </row>
    <row r="140" customFormat="false" ht="15.75" hidden="false" customHeight="false" outlineLevel="0" collapsed="false">
      <c r="A140" s="33" t="s">
        <v>143</v>
      </c>
      <c r="B140" s="33"/>
      <c r="C140" s="33"/>
      <c r="D140" s="33"/>
      <c r="E140" s="33"/>
      <c r="F140" s="33"/>
      <c r="G140" s="33"/>
      <c r="H140" s="33"/>
      <c r="I140" s="33"/>
    </row>
    <row r="141" customFormat="false" ht="15.75" hidden="false" customHeight="false" outlineLevel="0" collapsed="false">
      <c r="A141" s="146" t="s">
        <v>144</v>
      </c>
      <c r="B141" s="146"/>
      <c r="C141" s="146"/>
      <c r="D141" s="146"/>
      <c r="E141" s="146"/>
      <c r="F141" s="146"/>
      <c r="G141" s="146"/>
      <c r="H141" s="146"/>
      <c r="I141" s="146"/>
    </row>
    <row r="142" customFormat="false" ht="47.25" hidden="false" customHeight="true" outlineLevel="0" collapsed="false">
      <c r="A142" s="147" t="s">
        <v>145</v>
      </c>
      <c r="B142" s="147"/>
      <c r="C142" s="148" t="s">
        <v>146</v>
      </c>
      <c r="D142" s="148"/>
      <c r="E142" s="149" t="s">
        <v>147</v>
      </c>
      <c r="F142" s="148" t="s">
        <v>148</v>
      </c>
      <c r="G142" s="148"/>
      <c r="H142" s="148" t="s">
        <v>149</v>
      </c>
      <c r="I142" s="302" t="s">
        <v>150</v>
      </c>
    </row>
    <row r="143" customFormat="false" ht="20.25" hidden="false" customHeight="true" outlineLevel="0" collapsed="false">
      <c r="A143" s="151" t="s">
        <v>26</v>
      </c>
      <c r="B143" s="151"/>
      <c r="C143" s="152" t="n">
        <f aca="false">I138</f>
        <v>5133.77845</v>
      </c>
      <c r="D143" s="152"/>
      <c r="E143" s="153" t="n">
        <v>2</v>
      </c>
      <c r="F143" s="154" t="n">
        <f aca="false">C143</f>
        <v>5133.77845</v>
      </c>
      <c r="G143" s="154"/>
      <c r="H143" s="155" t="n">
        <v>1</v>
      </c>
      <c r="I143" s="303" t="n">
        <f aca="false">F143*H143</f>
        <v>5133.77845</v>
      </c>
    </row>
    <row r="144" customFormat="false" ht="15.75" hidden="false" customHeight="false" outlineLevel="0" collapsed="false">
      <c r="A144" s="301"/>
      <c r="B144" s="301"/>
      <c r="C144" s="301"/>
      <c r="D144" s="301"/>
      <c r="E144" s="301"/>
      <c r="F144" s="301"/>
      <c r="G144" s="301"/>
      <c r="H144" s="301"/>
      <c r="I144" s="301"/>
    </row>
    <row r="145" customFormat="false" ht="15.75" hidden="false" customHeight="false" outlineLevel="0" collapsed="false">
      <c r="A145" s="33" t="s">
        <v>151</v>
      </c>
      <c r="B145" s="33"/>
      <c r="C145" s="33"/>
      <c r="D145" s="33"/>
      <c r="E145" s="33"/>
      <c r="F145" s="33"/>
      <c r="G145" s="33"/>
      <c r="H145" s="33"/>
      <c r="I145" s="33"/>
    </row>
    <row r="146" customFormat="false" ht="15.75" hidden="false" customHeight="false" outlineLevel="0" collapsed="false">
      <c r="A146" s="146" t="s">
        <v>152</v>
      </c>
      <c r="B146" s="146"/>
      <c r="C146" s="146"/>
      <c r="D146" s="146"/>
      <c r="E146" s="146"/>
      <c r="F146" s="146"/>
      <c r="G146" s="146"/>
      <c r="H146" s="146"/>
      <c r="I146" s="146"/>
    </row>
    <row r="147" customFormat="false" ht="15.75" hidden="false" customHeight="false" outlineLevel="0" collapsed="false">
      <c r="A147" s="157" t="s">
        <v>153</v>
      </c>
      <c r="B147" s="157"/>
      <c r="C147" s="157"/>
      <c r="D147" s="157"/>
      <c r="E147" s="157"/>
      <c r="F147" s="157"/>
      <c r="G147" s="157"/>
      <c r="H147" s="157"/>
      <c r="I147" s="157"/>
    </row>
    <row r="148" customFormat="false" ht="15.75" hidden="false" customHeight="false" outlineLevel="0" collapsed="false">
      <c r="A148" s="158" t="s">
        <v>8</v>
      </c>
      <c r="B148" s="15" t="s">
        <v>154</v>
      </c>
      <c r="C148" s="15"/>
      <c r="D148" s="15"/>
      <c r="E148" s="15"/>
      <c r="F148" s="15"/>
      <c r="G148" s="15"/>
      <c r="H148" s="15"/>
      <c r="I148" s="304" t="n">
        <f aca="false">F143</f>
        <v>5133.77845</v>
      </c>
    </row>
    <row r="149" customFormat="false" ht="15.75" hidden="false" customHeight="false" outlineLevel="0" collapsed="false">
      <c r="A149" s="158" t="s">
        <v>10</v>
      </c>
      <c r="B149" s="15" t="s">
        <v>155</v>
      </c>
      <c r="C149" s="15"/>
      <c r="D149" s="15"/>
      <c r="E149" s="15"/>
      <c r="F149" s="15"/>
      <c r="G149" s="15"/>
      <c r="H149" s="15"/>
      <c r="I149" s="305" t="n">
        <f aca="false">I143</f>
        <v>5133.77845</v>
      </c>
    </row>
    <row r="150" customFormat="false" ht="16.5" hidden="false" customHeight="true" outlineLevel="0" collapsed="false">
      <c r="A150" s="161" t="s">
        <v>12</v>
      </c>
      <c r="B150" s="162" t="s">
        <v>156</v>
      </c>
      <c r="C150" s="162"/>
      <c r="D150" s="162"/>
      <c r="E150" s="162"/>
      <c r="F150" s="162"/>
      <c r="G150" s="162"/>
      <c r="H150" s="162"/>
      <c r="I150" s="306" t="n">
        <f aca="false">I149*12</f>
        <v>61605.3414</v>
      </c>
    </row>
  </sheetData>
  <mergeCells count="155">
    <mergeCell ref="A8:I8"/>
    <mergeCell ref="A9:I9"/>
    <mergeCell ref="A10:I10"/>
    <mergeCell ref="A11:I11"/>
    <mergeCell ref="A12:I12"/>
    <mergeCell ref="A13:I13"/>
    <mergeCell ref="A14:I14"/>
    <mergeCell ref="B15:H15"/>
    <mergeCell ref="B16:H16"/>
    <mergeCell ref="B17:H17"/>
    <mergeCell ref="B18:H18"/>
    <mergeCell ref="A19:I19"/>
    <mergeCell ref="A20:D20"/>
    <mergeCell ref="E20:F20"/>
    <mergeCell ref="G20:I20"/>
    <mergeCell ref="A21:D21"/>
    <mergeCell ref="E21:F22"/>
    <mergeCell ref="G21:I22"/>
    <mergeCell ref="A22:D22"/>
    <mergeCell ref="B23:I23"/>
    <mergeCell ref="A24:I24"/>
    <mergeCell ref="A25:I25"/>
    <mergeCell ref="A26:I26"/>
    <mergeCell ref="B27:H27"/>
    <mergeCell ref="B28:H28"/>
    <mergeCell ref="B29:H29"/>
    <mergeCell ref="B30:H30"/>
    <mergeCell ref="B31:H31"/>
    <mergeCell ref="B32:H32"/>
    <mergeCell ref="B33:H33"/>
    <mergeCell ref="A34:I34"/>
    <mergeCell ref="A35:I35"/>
    <mergeCell ref="B36:H36"/>
    <mergeCell ref="B37:H37"/>
    <mergeCell ref="B38:H38"/>
    <mergeCell ref="B39:H39"/>
    <mergeCell ref="A40:H40"/>
    <mergeCell ref="A41:I41"/>
    <mergeCell ref="B42:H42"/>
    <mergeCell ref="A43:A45"/>
    <mergeCell ref="B43:H43"/>
    <mergeCell ref="B44:G44"/>
    <mergeCell ref="B45:G45"/>
    <mergeCell ref="A46:A47"/>
    <mergeCell ref="B46:H46"/>
    <mergeCell ref="B47:G47"/>
    <mergeCell ref="B48:H48"/>
    <mergeCell ref="A49:H49"/>
    <mergeCell ref="A50:I50"/>
    <mergeCell ref="A51:I51"/>
    <mergeCell ref="B52:H52"/>
    <mergeCell ref="B53:H53"/>
    <mergeCell ref="A54:H54"/>
    <mergeCell ref="A55:I55"/>
    <mergeCell ref="A56:I56"/>
    <mergeCell ref="B57:G57"/>
    <mergeCell ref="B58:G58"/>
    <mergeCell ref="B59:G59"/>
    <mergeCell ref="B60:G60"/>
    <mergeCell ref="B61:G61"/>
    <mergeCell ref="B62:G62"/>
    <mergeCell ref="B63:G63"/>
    <mergeCell ref="B64:E64"/>
    <mergeCell ref="B65:G65"/>
    <mergeCell ref="A66:G66"/>
    <mergeCell ref="A67:I67"/>
    <mergeCell ref="A68:I68"/>
    <mergeCell ref="A69:I69"/>
    <mergeCell ref="B70:H70"/>
    <mergeCell ref="B71:H71"/>
    <mergeCell ref="A72:H72"/>
    <mergeCell ref="B73:H73"/>
    <mergeCell ref="A74:H74"/>
    <mergeCell ref="A75:I75"/>
    <mergeCell ref="B76:H76"/>
    <mergeCell ref="B77:H77"/>
    <mergeCell ref="B78:H78"/>
    <mergeCell ref="A79:H79"/>
    <mergeCell ref="A80:I80"/>
    <mergeCell ref="B81:H81"/>
    <mergeCell ref="B82:H82"/>
    <mergeCell ref="B83:H83"/>
    <mergeCell ref="B84:H84"/>
    <mergeCell ref="B85:H85"/>
    <mergeCell ref="B86:H86"/>
    <mergeCell ref="B87:H87"/>
    <mergeCell ref="A88:H88"/>
    <mergeCell ref="A89:I89"/>
    <mergeCell ref="B90:H90"/>
    <mergeCell ref="B91:H91"/>
    <mergeCell ref="B92:H92"/>
    <mergeCell ref="B93:H93"/>
    <mergeCell ref="B94:H94"/>
    <mergeCell ref="B95:H95"/>
    <mergeCell ref="A96:H96"/>
    <mergeCell ref="B97:H97"/>
    <mergeCell ref="A98:H98"/>
    <mergeCell ref="A99:I99"/>
    <mergeCell ref="B100:H100"/>
    <mergeCell ref="B101:H101"/>
    <mergeCell ref="B102:H102"/>
    <mergeCell ref="B103:H103"/>
    <mergeCell ref="B104:H104"/>
    <mergeCell ref="B105:H105"/>
    <mergeCell ref="A106:H106"/>
    <mergeCell ref="A107:I107"/>
    <mergeCell ref="B108:G108"/>
    <mergeCell ref="A109:G109"/>
    <mergeCell ref="B110:G110"/>
    <mergeCell ref="A111:G111"/>
    <mergeCell ref="B112:G112"/>
    <mergeCell ref="A113:G113"/>
    <mergeCell ref="A114:A121"/>
    <mergeCell ref="B114:G114"/>
    <mergeCell ref="B115:G115"/>
    <mergeCell ref="B116:G116"/>
    <mergeCell ref="B117:G117"/>
    <mergeCell ref="B118:G118"/>
    <mergeCell ref="B119:G119"/>
    <mergeCell ref="B120:G120"/>
    <mergeCell ref="B121:G121"/>
    <mergeCell ref="A122:H122"/>
    <mergeCell ref="A123:G123"/>
    <mergeCell ref="A124:B125"/>
    <mergeCell ref="C124:I124"/>
    <mergeCell ref="C125:I125"/>
    <mergeCell ref="A126:I126"/>
    <mergeCell ref="A127:I127"/>
    <mergeCell ref="A128:I128"/>
    <mergeCell ref="A129:I129"/>
    <mergeCell ref="A130:I130"/>
    <mergeCell ref="A131:H131"/>
    <mergeCell ref="B132:H132"/>
    <mergeCell ref="B133:H133"/>
    <mergeCell ref="B134:H134"/>
    <mergeCell ref="B135:H135"/>
    <mergeCell ref="A136:H136"/>
    <mergeCell ref="B137:H137"/>
    <mergeCell ref="A138:H138"/>
    <mergeCell ref="A139:I139"/>
    <mergeCell ref="A140:I140"/>
    <mergeCell ref="A141:I141"/>
    <mergeCell ref="A142:B142"/>
    <mergeCell ref="C142:D142"/>
    <mergeCell ref="F142:G142"/>
    <mergeCell ref="A143:B143"/>
    <mergeCell ref="C143:D143"/>
    <mergeCell ref="F143:G143"/>
    <mergeCell ref="A144:I144"/>
    <mergeCell ref="A145:I145"/>
    <mergeCell ref="A146:I146"/>
    <mergeCell ref="A147:I147"/>
    <mergeCell ref="B148:H148"/>
    <mergeCell ref="B149:H149"/>
    <mergeCell ref="B150:H150"/>
  </mergeCells>
  <printOptions headings="false" gridLines="false" gridLinesSet="true" horizontalCentered="false" verticalCentered="false"/>
  <pageMargins left="0.698611111111111" right="0.698611111111111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4" man="true" max="16383" min="0"/>
    <brk id="106" man="true" max="16383" min="0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tabColor rgb="FFFDEADA"/>
    <pageSetUpPr fitToPage="false"/>
  </sheetPr>
  <dimension ref="A1:N151"/>
  <sheetViews>
    <sheetView showFormulas="false" showGridLines="true" showRowColHeaders="true" showZeros="true" rightToLeft="false" tabSelected="false" showOutlineSymbols="true" defaultGridColor="true" view="pageBreakPreview" topLeftCell="A132" colorId="64" zoomScale="76" zoomScaleNormal="100" zoomScalePageLayoutView="76" workbookViewId="0">
      <selection pane="topLeft" activeCell="I47" activeCellId="0" sqref="I47"/>
    </sheetView>
  </sheetViews>
  <sheetFormatPr defaultRowHeight="15" zeroHeight="false" outlineLevelRow="0" outlineLevelCol="0"/>
  <cols>
    <col collapsed="false" customWidth="true" hidden="false" outlineLevel="0" max="1" min="1" style="1" width="16.71"/>
    <col collapsed="false" customWidth="true" hidden="false" outlineLevel="0" max="2" min="2" style="1" width="18.12"/>
    <col collapsed="false" customWidth="true" hidden="false" outlineLevel="0" max="3" min="3" style="1" width="19.99"/>
    <col collapsed="false" customWidth="true" hidden="false" outlineLevel="0" max="4" min="4" style="1" width="21.29"/>
    <col collapsed="false" customWidth="true" hidden="false" outlineLevel="0" max="5" min="5" style="1" width="20.86"/>
    <col collapsed="false" customWidth="true" hidden="false" outlineLevel="0" max="6" min="6" style="1" width="14.43"/>
    <col collapsed="false" customWidth="true" hidden="false" outlineLevel="0" max="7" min="7" style="1" width="18.58"/>
    <col collapsed="false" customWidth="true" hidden="false" outlineLevel="0" max="8" min="8" style="1" width="26.59"/>
    <col collapsed="false" customWidth="true" hidden="false" outlineLevel="0" max="9" min="9" style="1" width="51.42"/>
    <col collapsed="false" customWidth="true" hidden="true" outlineLevel="0" max="11" min="10" style="1" width="9"/>
    <col collapsed="false" customWidth="true" hidden="false" outlineLevel="0" max="12" min="12" style="1" width="58.57"/>
    <col collapsed="false" customWidth="true" hidden="false" outlineLevel="0" max="1025" min="13" style="1" width="28.57"/>
  </cols>
  <sheetData>
    <row r="1" s="101" customFormat="true" ht="15.75" hidden="false" customHeight="false" outlineLevel="0" collapsed="false">
      <c r="A1" s="173" t="s">
        <v>178</v>
      </c>
      <c r="I1" s="209"/>
    </row>
    <row r="2" s="101" customFormat="true" ht="15.75" hidden="false" customHeight="false" outlineLevel="0" collapsed="false">
      <c r="A2" s="173" t="s">
        <v>179</v>
      </c>
      <c r="I2" s="209"/>
    </row>
    <row r="3" s="101" customFormat="true" ht="15.75" hidden="false" customHeight="false" outlineLevel="0" collapsed="false">
      <c r="A3" s="173" t="s">
        <v>180</v>
      </c>
      <c r="I3" s="209"/>
    </row>
    <row r="4" s="101" customFormat="true" ht="15.75" hidden="false" customHeight="false" outlineLevel="0" collapsed="false">
      <c r="A4" s="173" t="s">
        <v>181</v>
      </c>
      <c r="I4" s="209"/>
    </row>
    <row r="5" s="101" customFormat="true" ht="15.75" hidden="false" customHeight="false" outlineLevel="0" collapsed="false">
      <c r="A5" s="173" t="s">
        <v>182</v>
      </c>
      <c r="I5" s="209"/>
    </row>
    <row r="6" s="101" customFormat="true" ht="15.75" hidden="false" customHeight="false" outlineLevel="0" collapsed="false">
      <c r="A6" s="173" t="s">
        <v>183</v>
      </c>
      <c r="I6" s="209"/>
    </row>
    <row r="7" customFormat="false" ht="15.75" hidden="false" customHeight="false" outlineLevel="0" collapsed="false">
      <c r="A7" s="174" t="s">
        <v>184</v>
      </c>
      <c r="I7" s="171"/>
    </row>
    <row r="8" customFormat="false" ht="15.75" hidden="false" customHeight="false" outlineLevel="0" collapsed="false">
      <c r="A8" s="263" t="s">
        <v>1</v>
      </c>
      <c r="B8" s="263"/>
      <c r="C8" s="263"/>
      <c r="D8" s="263"/>
      <c r="E8" s="263"/>
      <c r="F8" s="263"/>
      <c r="G8" s="263"/>
      <c r="H8" s="263"/>
      <c r="I8" s="263"/>
    </row>
    <row r="9" customFormat="false" ht="15.75" hidden="false" customHeight="false" outlineLevel="0" collapsed="false">
      <c r="A9" s="4" t="s">
        <v>2</v>
      </c>
      <c r="B9" s="4"/>
      <c r="C9" s="4"/>
      <c r="D9" s="4"/>
      <c r="E9" s="4"/>
      <c r="F9" s="4"/>
      <c r="G9" s="4"/>
      <c r="H9" s="4"/>
      <c r="I9" s="4"/>
    </row>
    <row r="10" customFormat="false" ht="15.75" hidden="false" customHeight="false" outlineLevel="0" collapsed="false">
      <c r="A10" s="5" t="s">
        <v>3</v>
      </c>
      <c r="B10" s="5"/>
      <c r="C10" s="5"/>
      <c r="D10" s="5"/>
      <c r="E10" s="5"/>
      <c r="F10" s="5"/>
      <c r="G10" s="5"/>
      <c r="H10" s="5"/>
      <c r="I10" s="5"/>
    </row>
    <row r="11" customFormat="false" ht="15.75" hidden="false" customHeight="false" outlineLevel="0" collapsed="false">
      <c r="A11" s="6" t="s">
        <v>4</v>
      </c>
      <c r="B11" s="6"/>
      <c r="C11" s="6"/>
      <c r="D11" s="6"/>
      <c r="E11" s="6"/>
      <c r="F11" s="6"/>
      <c r="G11" s="6"/>
      <c r="H11" s="6"/>
      <c r="I11" s="6"/>
    </row>
    <row r="12" customFormat="false" ht="15.75" hidden="false" customHeight="false" outlineLevel="0" collapsed="false">
      <c r="A12" s="7" t="s">
        <v>5</v>
      </c>
      <c r="B12" s="7"/>
      <c r="C12" s="7"/>
      <c r="D12" s="7"/>
      <c r="E12" s="7"/>
      <c r="F12" s="7"/>
      <c r="G12" s="7"/>
      <c r="H12" s="7"/>
      <c r="I12" s="7"/>
    </row>
    <row r="13" customFormat="false" ht="15.75" hidden="false" customHeight="false" outlineLevel="0" collapsed="false">
      <c r="A13" s="8" t="s">
        <v>6</v>
      </c>
      <c r="B13" s="8"/>
      <c r="C13" s="8"/>
      <c r="D13" s="8"/>
      <c r="E13" s="8"/>
      <c r="F13" s="8"/>
      <c r="G13" s="8"/>
      <c r="H13" s="8"/>
      <c r="I13" s="8"/>
    </row>
    <row r="14" customFormat="false" ht="15.75" hidden="false" customHeight="false" outlineLevel="0" collapsed="false">
      <c r="A14" s="179" t="s">
        <v>7</v>
      </c>
      <c r="B14" s="179"/>
      <c r="C14" s="179"/>
      <c r="D14" s="179"/>
      <c r="E14" s="179"/>
      <c r="F14" s="179"/>
      <c r="G14" s="179"/>
      <c r="H14" s="179"/>
      <c r="I14" s="179"/>
    </row>
    <row r="15" customFormat="false" ht="15.75" hidden="false" customHeight="false" outlineLevel="0" collapsed="false">
      <c r="A15" s="10" t="s">
        <v>8</v>
      </c>
      <c r="B15" s="11" t="s">
        <v>9</v>
      </c>
      <c r="C15" s="11"/>
      <c r="D15" s="11"/>
      <c r="E15" s="11"/>
      <c r="F15" s="11"/>
      <c r="G15" s="11"/>
      <c r="H15" s="11"/>
      <c r="I15" s="307"/>
      <c r="L15" s="13"/>
    </row>
    <row r="16" customFormat="false" ht="15.75" hidden="false" customHeight="false" outlineLevel="0" collapsed="false">
      <c r="A16" s="14" t="s">
        <v>10</v>
      </c>
      <c r="B16" s="15" t="s">
        <v>11</v>
      </c>
      <c r="C16" s="15"/>
      <c r="D16" s="15"/>
      <c r="E16" s="15"/>
      <c r="F16" s="15"/>
      <c r="G16" s="15"/>
      <c r="H16" s="15"/>
      <c r="I16" s="308" t="s">
        <v>223</v>
      </c>
      <c r="L16" s="13"/>
    </row>
    <row r="17" customFormat="false" ht="47.25" hidden="false" customHeight="true" outlineLevel="0" collapsed="false">
      <c r="A17" s="17" t="s">
        <v>12</v>
      </c>
      <c r="B17" s="67" t="s">
        <v>13</v>
      </c>
      <c r="C17" s="67"/>
      <c r="D17" s="67"/>
      <c r="E17" s="67"/>
      <c r="F17" s="67"/>
      <c r="G17" s="67"/>
      <c r="H17" s="67"/>
      <c r="I17" s="37" t="s">
        <v>186</v>
      </c>
      <c r="L17" s="13"/>
    </row>
    <row r="18" customFormat="false" ht="15.75" hidden="false" customHeight="false" outlineLevel="0" collapsed="false">
      <c r="A18" s="20" t="s">
        <v>14</v>
      </c>
      <c r="B18" s="21" t="s">
        <v>15</v>
      </c>
      <c r="C18" s="21"/>
      <c r="D18" s="21"/>
      <c r="E18" s="21"/>
      <c r="F18" s="21"/>
      <c r="G18" s="21"/>
      <c r="H18" s="21"/>
      <c r="I18" s="309" t="n">
        <v>12</v>
      </c>
    </row>
    <row r="19" customFormat="false" ht="15.75" hidden="false" customHeight="false" outlineLevel="0" collapsed="false">
      <c r="A19" s="179" t="s">
        <v>16</v>
      </c>
      <c r="B19" s="179"/>
      <c r="C19" s="179"/>
      <c r="D19" s="179"/>
      <c r="E19" s="179"/>
      <c r="F19" s="179"/>
      <c r="G19" s="179"/>
      <c r="H19" s="179"/>
      <c r="I19" s="179"/>
    </row>
    <row r="20" customFormat="false" ht="15.75" hidden="false" customHeight="false" outlineLevel="0" collapsed="false">
      <c r="A20" s="23" t="s">
        <v>17</v>
      </c>
      <c r="B20" s="23"/>
      <c r="C20" s="23"/>
      <c r="D20" s="23"/>
      <c r="E20" s="24" t="s">
        <v>18</v>
      </c>
      <c r="F20" s="24"/>
      <c r="G20" s="25" t="s">
        <v>19</v>
      </c>
      <c r="H20" s="25"/>
      <c r="I20" s="25"/>
    </row>
    <row r="21" customFormat="false" ht="15.75" hidden="false" customHeight="true" outlineLevel="0" collapsed="false">
      <c r="A21" s="26" t="s">
        <v>20</v>
      </c>
      <c r="B21" s="26"/>
      <c r="C21" s="26"/>
      <c r="D21" s="26"/>
      <c r="E21" s="27" t="s">
        <v>21</v>
      </c>
      <c r="F21" s="27"/>
      <c r="G21" s="28" t="n">
        <v>1</v>
      </c>
      <c r="H21" s="28"/>
      <c r="I21" s="28"/>
    </row>
    <row r="22" customFormat="false" ht="30" hidden="false" customHeight="true" outlineLevel="0" collapsed="false">
      <c r="A22" s="310" t="s">
        <v>209</v>
      </c>
      <c r="B22" s="310"/>
      <c r="C22" s="310"/>
      <c r="D22" s="310"/>
      <c r="E22" s="27"/>
      <c r="F22" s="27"/>
      <c r="G22" s="28"/>
      <c r="H22" s="28"/>
      <c r="I22" s="28"/>
      <c r="L22" s="30"/>
    </row>
    <row r="23" customFormat="false" ht="15.75" hidden="false" customHeight="false" outlineLevel="0" collapsed="false">
      <c r="A23" s="31"/>
      <c r="B23" s="269"/>
      <c r="C23" s="269"/>
      <c r="D23" s="269"/>
      <c r="E23" s="269"/>
      <c r="F23" s="269"/>
      <c r="G23" s="269"/>
      <c r="H23" s="269"/>
      <c r="I23" s="269"/>
    </row>
    <row r="24" customFormat="false" ht="15.75" hidden="false" customHeight="false" outlineLevel="0" collapsed="false">
      <c r="A24" s="33" t="s">
        <v>22</v>
      </c>
      <c r="B24" s="33"/>
      <c r="C24" s="33"/>
      <c r="D24" s="33"/>
      <c r="E24" s="33"/>
      <c r="F24" s="33"/>
      <c r="G24" s="33"/>
      <c r="H24" s="33"/>
      <c r="I24" s="33"/>
    </row>
    <row r="25" customFormat="false" ht="15.75" hidden="false" customHeight="false" outlineLevel="0" collapsed="false">
      <c r="A25" s="34" t="s">
        <v>23</v>
      </c>
      <c r="B25" s="34"/>
      <c r="C25" s="34"/>
      <c r="D25" s="34"/>
      <c r="E25" s="34"/>
      <c r="F25" s="34"/>
      <c r="G25" s="34"/>
      <c r="H25" s="34"/>
      <c r="I25" s="34"/>
    </row>
    <row r="26" customFormat="false" ht="15.75" hidden="false" customHeight="false" outlineLevel="0" collapsed="false">
      <c r="A26" s="35" t="s">
        <v>24</v>
      </c>
      <c r="B26" s="35"/>
      <c r="C26" s="35"/>
      <c r="D26" s="35"/>
      <c r="E26" s="35"/>
      <c r="F26" s="35"/>
      <c r="G26" s="35"/>
      <c r="H26" s="35"/>
      <c r="I26" s="35"/>
    </row>
    <row r="27" customFormat="false" ht="15.75" hidden="false" customHeight="true" outlineLevel="0" collapsed="false">
      <c r="A27" s="14" t="n">
        <v>1</v>
      </c>
      <c r="B27" s="36" t="s">
        <v>25</v>
      </c>
      <c r="C27" s="36"/>
      <c r="D27" s="36"/>
      <c r="E27" s="36"/>
      <c r="F27" s="36"/>
      <c r="G27" s="36"/>
      <c r="H27" s="36"/>
      <c r="I27" s="37" t="s">
        <v>26</v>
      </c>
    </row>
    <row r="28" customFormat="false" ht="18" hidden="false" customHeight="true" outlineLevel="0" collapsed="false">
      <c r="A28" s="14" t="n">
        <v>2</v>
      </c>
      <c r="B28" s="38" t="s">
        <v>27</v>
      </c>
      <c r="C28" s="38"/>
      <c r="D28" s="38"/>
      <c r="E28" s="38"/>
      <c r="F28" s="38"/>
      <c r="G28" s="38"/>
      <c r="H28" s="38"/>
      <c r="I28" s="308" t="n">
        <f aca="false">Dados!B2</f>
        <v>1305.17</v>
      </c>
    </row>
    <row r="29" customFormat="false" ht="17.25" hidden="false" customHeight="true" outlineLevel="0" collapsed="false">
      <c r="A29" s="14" t="n">
        <v>3</v>
      </c>
      <c r="B29" s="38" t="s">
        <v>28</v>
      </c>
      <c r="C29" s="38"/>
      <c r="D29" s="38"/>
      <c r="E29" s="38"/>
      <c r="F29" s="38"/>
      <c r="G29" s="38"/>
      <c r="H29" s="38"/>
      <c r="I29" s="308" t="s">
        <v>188</v>
      </c>
    </row>
    <row r="30" customFormat="false" ht="15.75" hidden="false" customHeight="true" outlineLevel="0" collapsed="false">
      <c r="A30" s="40" t="n">
        <v>4</v>
      </c>
      <c r="B30" s="41" t="s">
        <v>29</v>
      </c>
      <c r="C30" s="41"/>
      <c r="D30" s="41"/>
      <c r="E30" s="41"/>
      <c r="F30" s="41"/>
      <c r="G30" s="41"/>
      <c r="H30" s="41"/>
      <c r="I30" s="311" t="n">
        <v>42005</v>
      </c>
    </row>
    <row r="31" customFormat="false" ht="18.75" hidden="false" customHeight="true" outlineLevel="0" collapsed="false">
      <c r="A31" s="40" t="n">
        <v>5</v>
      </c>
      <c r="B31" s="38" t="s">
        <v>30</v>
      </c>
      <c r="C31" s="38"/>
      <c r="D31" s="38"/>
      <c r="E31" s="38"/>
      <c r="F31" s="38"/>
      <c r="G31" s="38"/>
      <c r="H31" s="38"/>
      <c r="I31" s="311" t="n">
        <f aca="false">I28/220</f>
        <v>5.93259090909091</v>
      </c>
    </row>
    <row r="32" customFormat="false" ht="15.75" hidden="false" customHeight="true" outlineLevel="0" collapsed="false">
      <c r="A32" s="40" t="n">
        <v>6</v>
      </c>
      <c r="B32" s="38" t="s">
        <v>31</v>
      </c>
      <c r="C32" s="38"/>
      <c r="D32" s="38"/>
      <c r="E32" s="38"/>
      <c r="F32" s="38"/>
      <c r="G32" s="38"/>
      <c r="H32" s="38"/>
      <c r="I32" s="311" t="n">
        <f aca="false">I31*1.5</f>
        <v>8.89888636363636</v>
      </c>
    </row>
    <row r="33" customFormat="false" ht="16.5" hidden="false" customHeight="true" outlineLevel="0" collapsed="false">
      <c r="A33" s="20" t="n">
        <v>7</v>
      </c>
      <c r="B33" s="44" t="s">
        <v>32</v>
      </c>
      <c r="C33" s="44"/>
      <c r="D33" s="44"/>
      <c r="E33" s="44"/>
      <c r="F33" s="44"/>
      <c r="G33" s="44"/>
      <c r="H33" s="44"/>
      <c r="I33" s="309" t="n">
        <f aca="false">I31*0.2</f>
        <v>1.18651818181818</v>
      </c>
    </row>
    <row r="34" customFormat="false" ht="15.75" hidden="false" customHeight="false" outlineLevel="0" collapsed="false">
      <c r="A34" s="271"/>
      <c r="B34" s="271"/>
      <c r="C34" s="271"/>
      <c r="D34" s="271"/>
      <c r="E34" s="271"/>
      <c r="F34" s="271"/>
      <c r="G34" s="271"/>
      <c r="H34" s="271"/>
      <c r="I34" s="271"/>
    </row>
    <row r="35" customFormat="false" ht="15.75" hidden="false" customHeight="false" outlineLevel="0" collapsed="false">
      <c r="A35" s="47" t="s">
        <v>33</v>
      </c>
      <c r="B35" s="47"/>
      <c r="C35" s="47"/>
      <c r="D35" s="47"/>
      <c r="E35" s="47"/>
      <c r="F35" s="47"/>
      <c r="G35" s="47"/>
      <c r="H35" s="47"/>
      <c r="I35" s="47"/>
    </row>
    <row r="36" customFormat="false" ht="15.75" hidden="false" customHeight="false" outlineLevel="0" collapsed="false">
      <c r="A36" s="48" t="n">
        <v>1</v>
      </c>
      <c r="B36" s="49" t="s">
        <v>34</v>
      </c>
      <c r="C36" s="49"/>
      <c r="D36" s="49"/>
      <c r="E36" s="49"/>
      <c r="F36" s="49"/>
      <c r="G36" s="49"/>
      <c r="H36" s="49"/>
      <c r="I36" s="204" t="s">
        <v>35</v>
      </c>
      <c r="L36" s="51"/>
    </row>
    <row r="37" customFormat="false" ht="15.75" hidden="false" customHeight="false" outlineLevel="0" collapsed="false">
      <c r="A37" s="17" t="s">
        <v>8</v>
      </c>
      <c r="B37" s="52" t="s">
        <v>210</v>
      </c>
      <c r="C37" s="52"/>
      <c r="D37" s="52"/>
      <c r="E37" s="52"/>
      <c r="F37" s="52"/>
      <c r="G37" s="52"/>
      <c r="H37" s="52"/>
      <c r="I37" s="207" t="n">
        <f aca="false">ROUND(I28*2,2)</f>
        <v>2610.34</v>
      </c>
      <c r="L37" s="51"/>
    </row>
    <row r="38" customFormat="false" ht="47.25" hidden="false" customHeight="true" outlineLevel="0" collapsed="false">
      <c r="A38" s="17" t="s">
        <v>10</v>
      </c>
      <c r="B38" s="54" t="s">
        <v>41</v>
      </c>
      <c r="C38" s="54"/>
      <c r="D38" s="54"/>
      <c r="E38" s="54"/>
      <c r="F38" s="54"/>
      <c r="G38" s="54"/>
      <c r="H38" s="54"/>
      <c r="I38" s="207"/>
      <c r="L38" s="57"/>
    </row>
    <row r="39" customFormat="false" ht="17.25" hidden="false" customHeight="true" outlineLevel="0" collapsed="false">
      <c r="A39" s="17" t="s">
        <v>12</v>
      </c>
      <c r="B39" s="58" t="s">
        <v>43</v>
      </c>
      <c r="C39" s="58"/>
      <c r="D39" s="58"/>
      <c r="E39" s="58"/>
      <c r="F39" s="58"/>
      <c r="G39" s="58"/>
      <c r="H39" s="58"/>
      <c r="I39" s="207" t="n">
        <f aca="false">SUM(I38:I38)*0.2</f>
        <v>0</v>
      </c>
      <c r="K39" s="59"/>
    </row>
    <row r="40" customFormat="false" ht="33" hidden="false" customHeight="true" outlineLevel="0" collapsed="false">
      <c r="A40" s="17" t="s">
        <v>14</v>
      </c>
      <c r="B40" s="54" t="s">
        <v>211</v>
      </c>
      <c r="C40" s="54"/>
      <c r="D40" s="54"/>
      <c r="E40" s="54"/>
      <c r="F40" s="54"/>
      <c r="G40" s="54"/>
      <c r="H40" s="54"/>
      <c r="I40" s="207" t="n">
        <f aca="false">ROUND((I31*30*1.2)+(I31*(11/12)*1.2),2)</f>
        <v>220.1</v>
      </c>
      <c r="K40" s="59"/>
    </row>
    <row r="41" customFormat="false" ht="15.75" hidden="false" customHeight="false" outlineLevel="0" collapsed="false">
      <c r="A41" s="60" t="s">
        <v>44</v>
      </c>
      <c r="B41" s="60"/>
      <c r="C41" s="60"/>
      <c r="D41" s="60"/>
      <c r="E41" s="60"/>
      <c r="F41" s="60"/>
      <c r="G41" s="60"/>
      <c r="H41" s="60"/>
      <c r="I41" s="210" t="n">
        <f aca="false">SUM(I37:I39)</f>
        <v>2610.34</v>
      </c>
    </row>
    <row r="42" customFormat="false" ht="15.75" hidden="false" customHeight="false" outlineLevel="0" collapsed="false">
      <c r="A42" s="47" t="s">
        <v>45</v>
      </c>
      <c r="B42" s="47"/>
      <c r="C42" s="47"/>
      <c r="D42" s="47"/>
      <c r="E42" s="47"/>
      <c r="F42" s="47"/>
      <c r="G42" s="47"/>
      <c r="H42" s="47"/>
      <c r="I42" s="47"/>
    </row>
    <row r="43" customFormat="false" ht="15.75" hidden="false" customHeight="false" outlineLevel="0" collapsed="false">
      <c r="A43" s="62" t="n">
        <v>2</v>
      </c>
      <c r="B43" s="63" t="s">
        <v>46</v>
      </c>
      <c r="C43" s="63"/>
      <c r="D43" s="63"/>
      <c r="E43" s="63"/>
      <c r="F43" s="63"/>
      <c r="G43" s="63"/>
      <c r="H43" s="63"/>
      <c r="I43" s="204" t="s">
        <v>35</v>
      </c>
    </row>
    <row r="44" customFormat="false" ht="32.25" hidden="false" customHeight="true" outlineLevel="0" collapsed="false">
      <c r="A44" s="64" t="s">
        <v>8</v>
      </c>
      <c r="B44" s="54" t="s">
        <v>212</v>
      </c>
      <c r="C44" s="54"/>
      <c r="D44" s="54"/>
      <c r="E44" s="54"/>
      <c r="F44" s="54"/>
      <c r="G44" s="54"/>
      <c r="H44" s="54"/>
      <c r="I44" s="312" t="n">
        <f aca="false">ROUND(((2*H46*H45*15)+(H46*H45*30))-(0.06*(I37+I31*30)),2)</f>
        <v>270.7</v>
      </c>
      <c r="L44" s="66"/>
    </row>
    <row r="45" customFormat="false" ht="29.25" hidden="false" customHeight="true" outlineLevel="0" collapsed="false">
      <c r="A45" s="64"/>
      <c r="B45" s="277" t="s">
        <v>298</v>
      </c>
      <c r="C45" s="277"/>
      <c r="D45" s="277"/>
      <c r="E45" s="277"/>
      <c r="F45" s="277"/>
      <c r="G45" s="277"/>
      <c r="H45" s="278" t="n">
        <f aca="false">Dados!B10</f>
        <v>3.65</v>
      </c>
      <c r="I45" s="312"/>
    </row>
    <row r="46" customFormat="false" ht="15.75" hidden="false" customHeight="false" outlineLevel="0" collapsed="false">
      <c r="A46" s="64"/>
      <c r="B46" s="69" t="s">
        <v>49</v>
      </c>
      <c r="C46" s="69"/>
      <c r="D46" s="69"/>
      <c r="E46" s="69"/>
      <c r="F46" s="69"/>
      <c r="G46" s="69"/>
      <c r="H46" s="70" t="n">
        <v>2</v>
      </c>
      <c r="I46" s="312" t="n">
        <v>0</v>
      </c>
    </row>
    <row r="47" customFormat="false" ht="15.75" hidden="false" customHeight="true" outlineLevel="0" collapsed="false">
      <c r="A47" s="64" t="s">
        <v>10</v>
      </c>
      <c r="B47" s="54" t="s">
        <v>50</v>
      </c>
      <c r="C47" s="54"/>
      <c r="D47" s="54"/>
      <c r="E47" s="54"/>
      <c r="F47" s="54"/>
      <c r="G47" s="54"/>
      <c r="H47" s="54"/>
      <c r="I47" s="312" t="n">
        <f aca="false">ROUND((2*15*H48)*(1-0.18),2)</f>
        <v>411.56</v>
      </c>
    </row>
    <row r="48" customFormat="false" ht="15.75" hidden="false" customHeight="false" outlineLevel="0" collapsed="false">
      <c r="A48" s="64"/>
      <c r="B48" s="69" t="s">
        <v>51</v>
      </c>
      <c r="C48" s="69"/>
      <c r="D48" s="69"/>
      <c r="E48" s="69"/>
      <c r="F48" s="69"/>
      <c r="G48" s="69"/>
      <c r="H48" s="280" t="n">
        <f aca="false">Dados!B3</f>
        <v>16.73</v>
      </c>
      <c r="I48" s="223"/>
    </row>
    <row r="49" customFormat="false" ht="30" hidden="false" customHeight="true" outlineLevel="0" collapsed="false">
      <c r="A49" s="17" t="s">
        <v>12</v>
      </c>
      <c r="B49" s="58" t="s">
        <v>214</v>
      </c>
      <c r="C49" s="58"/>
      <c r="D49" s="58"/>
      <c r="E49" s="58"/>
      <c r="F49" s="58"/>
      <c r="G49" s="58"/>
      <c r="H49" s="58"/>
      <c r="I49" s="312" t="n">
        <f aca="false">ROUND(Dados!B5*(2+1),2)</f>
        <v>45.06</v>
      </c>
    </row>
    <row r="50" customFormat="false" ht="15.75" hidden="false" customHeight="false" outlineLevel="0" collapsed="false">
      <c r="A50" s="60" t="s">
        <v>53</v>
      </c>
      <c r="B50" s="60"/>
      <c r="C50" s="60"/>
      <c r="D50" s="60"/>
      <c r="E50" s="60"/>
      <c r="F50" s="60"/>
      <c r="G50" s="60"/>
      <c r="H50" s="60"/>
      <c r="I50" s="210" t="n">
        <f aca="false">SUM(I44:I49)</f>
        <v>727.32</v>
      </c>
    </row>
    <row r="51" customFormat="false" ht="15.75" hidden="false" customHeight="false" outlineLevel="0" collapsed="false">
      <c r="A51" s="73" t="s">
        <v>54</v>
      </c>
      <c r="B51" s="73"/>
      <c r="C51" s="73"/>
      <c r="D51" s="73"/>
      <c r="E51" s="73"/>
      <c r="F51" s="73"/>
      <c r="G51" s="73"/>
      <c r="H51" s="73"/>
      <c r="I51" s="73"/>
    </row>
    <row r="52" customFormat="false" ht="15.75" hidden="false" customHeight="false" outlineLevel="0" collapsed="false">
      <c r="A52" s="47" t="s">
        <v>55</v>
      </c>
      <c r="B52" s="47"/>
      <c r="C52" s="47"/>
      <c r="D52" s="47"/>
      <c r="E52" s="47"/>
      <c r="F52" s="47"/>
      <c r="G52" s="47"/>
      <c r="H52" s="47"/>
      <c r="I52" s="47"/>
    </row>
    <row r="53" customFormat="false" ht="15.75" hidden="false" customHeight="false" outlineLevel="0" collapsed="false">
      <c r="A53" s="62" t="n">
        <v>3</v>
      </c>
      <c r="B53" s="63" t="s">
        <v>56</v>
      </c>
      <c r="C53" s="63"/>
      <c r="D53" s="63"/>
      <c r="E53" s="63"/>
      <c r="F53" s="63"/>
      <c r="G53" s="63"/>
      <c r="H53" s="63"/>
      <c r="I53" s="204" t="s">
        <v>35</v>
      </c>
    </row>
    <row r="54" customFormat="false" ht="15.75" hidden="false" customHeight="false" outlineLevel="0" collapsed="false">
      <c r="A54" s="64" t="s">
        <v>8</v>
      </c>
      <c r="B54" s="74" t="s">
        <v>254</v>
      </c>
      <c r="C54" s="74"/>
      <c r="D54" s="74"/>
      <c r="E54" s="74"/>
      <c r="F54" s="74"/>
      <c r="G54" s="74"/>
      <c r="H54" s="74"/>
      <c r="I54" s="75" t="n">
        <f aca="false">Dados!D6*(2+1)</f>
        <v>206.514375</v>
      </c>
      <c r="J54" s="76"/>
      <c r="K54" s="77"/>
    </row>
    <row r="55" customFormat="false" ht="15.75" hidden="false" customHeight="false" outlineLevel="0" collapsed="false">
      <c r="A55" s="60" t="s">
        <v>58</v>
      </c>
      <c r="B55" s="60"/>
      <c r="C55" s="60"/>
      <c r="D55" s="60"/>
      <c r="E55" s="60"/>
      <c r="F55" s="60"/>
      <c r="G55" s="60"/>
      <c r="H55" s="60"/>
      <c r="I55" s="78" t="n">
        <f aca="false">SUM(I54:I54)</f>
        <v>206.514375</v>
      </c>
    </row>
    <row r="56" customFormat="false" ht="15.75" hidden="false" customHeight="false" outlineLevel="0" collapsed="false">
      <c r="A56" s="47" t="s">
        <v>59</v>
      </c>
      <c r="B56" s="47"/>
      <c r="C56" s="47"/>
      <c r="D56" s="47"/>
      <c r="E56" s="47"/>
      <c r="F56" s="47"/>
      <c r="G56" s="47"/>
      <c r="H56" s="47"/>
      <c r="I56" s="47"/>
    </row>
    <row r="57" customFormat="false" ht="18" hidden="false" customHeight="true" outlineLevel="0" collapsed="false">
      <c r="A57" s="79" t="s">
        <v>60</v>
      </c>
      <c r="B57" s="79"/>
      <c r="C57" s="79"/>
      <c r="D57" s="79"/>
      <c r="E57" s="79"/>
      <c r="F57" s="79"/>
      <c r="G57" s="79"/>
      <c r="H57" s="79"/>
      <c r="I57" s="79"/>
    </row>
    <row r="58" customFormat="false" ht="15.75" hidden="false" customHeight="false" outlineLevel="0" collapsed="false">
      <c r="A58" s="62" t="s">
        <v>61</v>
      </c>
      <c r="B58" s="80" t="s">
        <v>62</v>
      </c>
      <c r="C58" s="80"/>
      <c r="D58" s="80"/>
      <c r="E58" s="80"/>
      <c r="F58" s="80"/>
      <c r="G58" s="80"/>
      <c r="H58" s="81" t="s">
        <v>63</v>
      </c>
      <c r="I58" s="204" t="s">
        <v>35</v>
      </c>
    </row>
    <row r="59" customFormat="false" ht="15.75" hidden="false" customHeight="false" outlineLevel="0" collapsed="false">
      <c r="A59" s="82" t="s">
        <v>8</v>
      </c>
      <c r="B59" s="83" t="s">
        <v>64</v>
      </c>
      <c r="C59" s="83"/>
      <c r="D59" s="83"/>
      <c r="E59" s="83"/>
      <c r="F59" s="83"/>
      <c r="G59" s="83"/>
      <c r="H59" s="84" t="n">
        <v>0.2</v>
      </c>
      <c r="I59" s="207" t="n">
        <f aca="false">ROUND($I$41*H59,2)</f>
        <v>522.07</v>
      </c>
      <c r="K59" s="66"/>
    </row>
    <row r="60" customFormat="false" ht="15.75" hidden="false" customHeight="false" outlineLevel="0" collapsed="false">
      <c r="A60" s="82" t="s">
        <v>10</v>
      </c>
      <c r="B60" s="83" t="s">
        <v>65</v>
      </c>
      <c r="C60" s="83"/>
      <c r="D60" s="83"/>
      <c r="E60" s="83"/>
      <c r="F60" s="83"/>
      <c r="G60" s="83"/>
      <c r="H60" s="85" t="n">
        <v>0.015</v>
      </c>
      <c r="I60" s="207" t="n">
        <f aca="false">ROUND($I$41*H60,2)</f>
        <v>39.16</v>
      </c>
      <c r="K60" s="66"/>
    </row>
    <row r="61" customFormat="false" ht="15.75" hidden="false" customHeight="false" outlineLevel="0" collapsed="false">
      <c r="A61" s="82" t="s">
        <v>12</v>
      </c>
      <c r="B61" s="83" t="s">
        <v>66</v>
      </c>
      <c r="C61" s="83"/>
      <c r="D61" s="83"/>
      <c r="E61" s="83"/>
      <c r="F61" s="83"/>
      <c r="G61" s="83"/>
      <c r="H61" s="84" t="n">
        <v>0.01</v>
      </c>
      <c r="I61" s="207" t="n">
        <f aca="false">ROUND($I$41*H61,2)</f>
        <v>26.1</v>
      </c>
      <c r="K61" s="66"/>
    </row>
    <row r="62" customFormat="false" ht="15.75" hidden="false" customHeight="false" outlineLevel="0" collapsed="false">
      <c r="A62" s="82" t="s">
        <v>14</v>
      </c>
      <c r="B62" s="83" t="s">
        <v>67</v>
      </c>
      <c r="C62" s="83"/>
      <c r="D62" s="83"/>
      <c r="E62" s="83"/>
      <c r="F62" s="83"/>
      <c r="G62" s="83"/>
      <c r="H62" s="86" t="n">
        <v>0.002</v>
      </c>
      <c r="I62" s="207" t="n">
        <f aca="false">ROUND($I$41*H62,2)</f>
        <v>5.22</v>
      </c>
      <c r="K62" s="66"/>
    </row>
    <row r="63" customFormat="false" ht="15.75" hidden="false" customHeight="false" outlineLevel="0" collapsed="false">
      <c r="A63" s="82" t="s">
        <v>40</v>
      </c>
      <c r="B63" s="83" t="s">
        <v>68</v>
      </c>
      <c r="C63" s="83"/>
      <c r="D63" s="83"/>
      <c r="E63" s="83"/>
      <c r="F63" s="83"/>
      <c r="G63" s="83"/>
      <c r="H63" s="86" t="n">
        <v>0.025</v>
      </c>
      <c r="I63" s="207" t="n">
        <f aca="false">ROUND($I$41*H63,2)</f>
        <v>65.26</v>
      </c>
      <c r="K63" s="66"/>
    </row>
    <row r="64" customFormat="false" ht="15.75" hidden="false" customHeight="false" outlineLevel="0" collapsed="false">
      <c r="A64" s="82" t="s">
        <v>42</v>
      </c>
      <c r="B64" s="83" t="s">
        <v>69</v>
      </c>
      <c r="C64" s="83"/>
      <c r="D64" s="83"/>
      <c r="E64" s="83"/>
      <c r="F64" s="83"/>
      <c r="G64" s="83"/>
      <c r="H64" s="84" t="n">
        <v>0.08</v>
      </c>
      <c r="I64" s="207" t="n">
        <f aca="false">ROUND($I$41*H64,2)</f>
        <v>208.83</v>
      </c>
      <c r="K64" s="66"/>
    </row>
    <row r="65" customFormat="false" ht="15.75" hidden="false" customHeight="false" outlineLevel="0" collapsed="false">
      <c r="A65" s="82" t="s">
        <v>70</v>
      </c>
      <c r="B65" s="87" t="s">
        <v>71</v>
      </c>
      <c r="C65" s="87"/>
      <c r="D65" s="87"/>
      <c r="E65" s="87"/>
      <c r="F65" s="88" t="s">
        <v>72</v>
      </c>
      <c r="G65" s="89" t="s">
        <v>196</v>
      </c>
      <c r="H65" s="86" t="n">
        <v>0.015</v>
      </c>
      <c r="I65" s="207" t="n">
        <f aca="false">ROUND($I$41*H65,2)</f>
        <v>39.16</v>
      </c>
      <c r="K65" s="66"/>
    </row>
    <row r="66" customFormat="false" ht="15.75" hidden="false" customHeight="false" outlineLevel="0" collapsed="false">
      <c r="A66" s="82" t="s">
        <v>74</v>
      </c>
      <c r="B66" s="83" t="s">
        <v>75</v>
      </c>
      <c r="C66" s="83"/>
      <c r="D66" s="83"/>
      <c r="E66" s="83"/>
      <c r="F66" s="83"/>
      <c r="G66" s="83"/>
      <c r="H66" s="86" t="n">
        <v>0.006</v>
      </c>
      <c r="I66" s="207" t="n">
        <f aca="false">ROUND($I$41*H66,2)</f>
        <v>15.66</v>
      </c>
      <c r="K66" s="66"/>
    </row>
    <row r="67" customFormat="false" ht="15.75" hidden="false" customHeight="false" outlineLevel="0" collapsed="false">
      <c r="A67" s="90" t="s">
        <v>76</v>
      </c>
      <c r="B67" s="90"/>
      <c r="C67" s="90"/>
      <c r="D67" s="90"/>
      <c r="E67" s="90"/>
      <c r="F67" s="90"/>
      <c r="G67" s="90"/>
      <c r="H67" s="91" t="n">
        <f aca="false">SUM(H59:H66)</f>
        <v>0.353</v>
      </c>
      <c r="I67" s="219" t="n">
        <f aca="false">SUM(I59:I66)</f>
        <v>921.46</v>
      </c>
      <c r="K67" s="66"/>
    </row>
    <row r="68" customFormat="false" ht="15.75" hidden="false" customHeight="false" outlineLevel="0" collapsed="false">
      <c r="A68" s="93" t="s">
        <v>77</v>
      </c>
      <c r="B68" s="93"/>
      <c r="C68" s="93"/>
      <c r="D68" s="93"/>
      <c r="E68" s="93"/>
      <c r="F68" s="93"/>
      <c r="G68" s="93"/>
      <c r="H68" s="93"/>
      <c r="I68" s="93"/>
    </row>
    <row r="69" customFormat="false" ht="15.75" hidden="false" customHeight="false" outlineLevel="0" collapsed="false">
      <c r="A69" s="94" t="s">
        <v>78</v>
      </c>
      <c r="B69" s="94"/>
      <c r="C69" s="94"/>
      <c r="D69" s="94"/>
      <c r="E69" s="94"/>
      <c r="F69" s="94"/>
      <c r="G69" s="94"/>
      <c r="H69" s="94"/>
      <c r="I69" s="94"/>
    </row>
    <row r="70" customFormat="false" ht="15.75" hidden="false" customHeight="false" outlineLevel="0" collapsed="false">
      <c r="A70" s="79" t="s">
        <v>79</v>
      </c>
      <c r="B70" s="79"/>
      <c r="C70" s="79"/>
      <c r="D70" s="79"/>
      <c r="E70" s="79"/>
      <c r="F70" s="79"/>
      <c r="G70" s="79"/>
      <c r="H70" s="79"/>
      <c r="I70" s="79"/>
    </row>
    <row r="71" customFormat="false" ht="15.75" hidden="false" customHeight="false" outlineLevel="0" collapsed="false">
      <c r="A71" s="62" t="s">
        <v>80</v>
      </c>
      <c r="B71" s="81" t="s">
        <v>81</v>
      </c>
      <c r="C71" s="81"/>
      <c r="D71" s="81"/>
      <c r="E71" s="81"/>
      <c r="F71" s="81"/>
      <c r="G71" s="81"/>
      <c r="H71" s="81"/>
      <c r="I71" s="204" t="s">
        <v>35</v>
      </c>
    </row>
    <row r="72" customFormat="false" ht="32.25" hidden="false" customHeight="true" outlineLevel="0" collapsed="false">
      <c r="A72" s="17" t="s">
        <v>8</v>
      </c>
      <c r="B72" s="95" t="s">
        <v>82</v>
      </c>
      <c r="C72" s="95"/>
      <c r="D72" s="95"/>
      <c r="E72" s="95"/>
      <c r="F72" s="95"/>
      <c r="G72" s="95"/>
      <c r="H72" s="95"/>
      <c r="I72" s="220" t="n">
        <f aca="false">ROUND(I41/12,2)</f>
        <v>217.53</v>
      </c>
      <c r="K72" s="66"/>
    </row>
    <row r="73" customFormat="false" ht="15.75" hidden="false" customHeight="false" outlineLevel="0" collapsed="false">
      <c r="A73" s="97" t="s">
        <v>83</v>
      </c>
      <c r="B73" s="97"/>
      <c r="C73" s="97"/>
      <c r="D73" s="97"/>
      <c r="E73" s="97"/>
      <c r="F73" s="97"/>
      <c r="G73" s="97"/>
      <c r="H73" s="97"/>
      <c r="I73" s="207" t="n">
        <f aca="false">SUM(I72:I72)</f>
        <v>217.53</v>
      </c>
      <c r="K73" s="66"/>
    </row>
    <row r="74" customFormat="false" ht="15.75" hidden="false" customHeight="false" outlineLevel="0" collapsed="false">
      <c r="A74" s="17" t="s">
        <v>10</v>
      </c>
      <c r="B74" s="83" t="s">
        <v>84</v>
      </c>
      <c r="C74" s="83"/>
      <c r="D74" s="83"/>
      <c r="E74" s="83"/>
      <c r="F74" s="83"/>
      <c r="G74" s="83"/>
      <c r="H74" s="83"/>
      <c r="I74" s="207" t="n">
        <f aca="false">ROUND(I73*H67,2)</f>
        <v>76.79</v>
      </c>
      <c r="K74" s="66"/>
    </row>
    <row r="75" customFormat="false" ht="15.75" hidden="false" customHeight="false" outlineLevel="0" collapsed="false">
      <c r="A75" s="60" t="s">
        <v>76</v>
      </c>
      <c r="B75" s="60"/>
      <c r="C75" s="60"/>
      <c r="D75" s="60"/>
      <c r="E75" s="60"/>
      <c r="F75" s="60"/>
      <c r="G75" s="60"/>
      <c r="H75" s="60"/>
      <c r="I75" s="210" t="n">
        <f aca="false">SUM(I73:I74)</f>
        <v>294.32</v>
      </c>
      <c r="K75" s="66"/>
    </row>
    <row r="76" customFormat="false" ht="15.75" hidden="false" customHeight="false" outlineLevel="0" collapsed="false">
      <c r="A76" s="79" t="s">
        <v>85</v>
      </c>
      <c r="B76" s="79"/>
      <c r="C76" s="79"/>
      <c r="D76" s="79"/>
      <c r="E76" s="79"/>
      <c r="F76" s="79"/>
      <c r="G76" s="79"/>
      <c r="H76" s="79"/>
      <c r="I76" s="79"/>
    </row>
    <row r="77" customFormat="false" ht="15.75" hidden="false" customHeight="false" outlineLevel="0" collapsed="false">
      <c r="A77" s="62" t="s">
        <v>86</v>
      </c>
      <c r="B77" s="81" t="s">
        <v>87</v>
      </c>
      <c r="C77" s="81"/>
      <c r="D77" s="81"/>
      <c r="E77" s="81"/>
      <c r="F77" s="81"/>
      <c r="G77" s="81"/>
      <c r="H77" s="81"/>
      <c r="I77" s="204" t="s">
        <v>35</v>
      </c>
    </row>
    <row r="78" customFormat="false" ht="15.75" hidden="false" customHeight="false" outlineLevel="0" collapsed="false">
      <c r="A78" s="17" t="s">
        <v>8</v>
      </c>
      <c r="B78" s="52" t="s">
        <v>88</v>
      </c>
      <c r="C78" s="52"/>
      <c r="D78" s="52"/>
      <c r="E78" s="52"/>
      <c r="F78" s="52"/>
      <c r="G78" s="52"/>
      <c r="H78" s="52"/>
      <c r="I78" s="75" t="n">
        <f aca="false">ROUND((((I41+I41/3)*(4/12))/12)*0.02,2)</f>
        <v>1.93</v>
      </c>
    </row>
    <row r="79" customFormat="false" ht="15.75" hidden="false" customHeight="false" outlineLevel="0" collapsed="false">
      <c r="A79" s="17" t="s">
        <v>10</v>
      </c>
      <c r="B79" s="83" t="s">
        <v>89</v>
      </c>
      <c r="C79" s="83"/>
      <c r="D79" s="83"/>
      <c r="E79" s="83"/>
      <c r="F79" s="83"/>
      <c r="G79" s="83"/>
      <c r="H79" s="83"/>
      <c r="I79" s="75" t="n">
        <f aca="false">ROUND(I78*H67,2)</f>
        <v>0.68</v>
      </c>
    </row>
    <row r="80" customFormat="false" ht="15.75" hidden="false" customHeight="false" outlineLevel="0" collapsed="false">
      <c r="A80" s="60" t="s">
        <v>76</v>
      </c>
      <c r="B80" s="60"/>
      <c r="C80" s="60"/>
      <c r="D80" s="60"/>
      <c r="E80" s="60"/>
      <c r="F80" s="60"/>
      <c r="G80" s="60"/>
      <c r="H80" s="60"/>
      <c r="I80" s="210" t="n">
        <f aca="false">SUM(I78:I79)</f>
        <v>2.61</v>
      </c>
    </row>
    <row r="81" customFormat="false" ht="15.75" hidden="false" customHeight="false" outlineLevel="0" collapsed="false">
      <c r="A81" s="79" t="s">
        <v>90</v>
      </c>
      <c r="B81" s="79"/>
      <c r="C81" s="79"/>
      <c r="D81" s="79"/>
      <c r="E81" s="79"/>
      <c r="F81" s="79"/>
      <c r="G81" s="79"/>
      <c r="H81" s="79"/>
      <c r="I81" s="79"/>
    </row>
    <row r="82" customFormat="false" ht="15.75" hidden="false" customHeight="false" outlineLevel="0" collapsed="false">
      <c r="A82" s="62" t="s">
        <v>91</v>
      </c>
      <c r="B82" s="81" t="s">
        <v>92</v>
      </c>
      <c r="C82" s="81"/>
      <c r="D82" s="81"/>
      <c r="E82" s="81"/>
      <c r="F82" s="81"/>
      <c r="G82" s="81"/>
      <c r="H82" s="81"/>
      <c r="I82" s="204" t="s">
        <v>35</v>
      </c>
    </row>
    <row r="83" customFormat="false" ht="22.5" hidden="false" customHeight="true" outlineLevel="0" collapsed="false">
      <c r="A83" s="17" t="s">
        <v>8</v>
      </c>
      <c r="B83" s="99" t="s">
        <v>93</v>
      </c>
      <c r="C83" s="99"/>
      <c r="D83" s="99"/>
      <c r="E83" s="99"/>
      <c r="F83" s="99"/>
      <c r="G83" s="99"/>
      <c r="H83" s="99"/>
      <c r="I83" s="207" t="n">
        <f aca="false">ROUND((I41/12)*(30/30)*0.05,2)</f>
        <v>10.88</v>
      </c>
    </row>
    <row r="84" customFormat="false" ht="15.75" hidden="false" customHeight="true" outlineLevel="0" collapsed="false">
      <c r="A84" s="17" t="s">
        <v>10</v>
      </c>
      <c r="B84" s="83" t="s">
        <v>94</v>
      </c>
      <c r="C84" s="83"/>
      <c r="D84" s="83"/>
      <c r="E84" s="83"/>
      <c r="F84" s="83"/>
      <c r="G84" s="83"/>
      <c r="H84" s="83"/>
      <c r="I84" s="207" t="n">
        <f aca="false">ROUND(I83*H64,2)</f>
        <v>0.87</v>
      </c>
    </row>
    <row r="85" customFormat="false" ht="49.5" hidden="false" customHeight="true" outlineLevel="0" collapsed="false">
      <c r="A85" s="17" t="s">
        <v>12</v>
      </c>
      <c r="B85" s="95" t="s">
        <v>95</v>
      </c>
      <c r="C85" s="95"/>
      <c r="D85" s="95"/>
      <c r="E85" s="95"/>
      <c r="F85" s="95"/>
      <c r="G85" s="95"/>
      <c r="H85" s="95"/>
      <c r="I85" s="220" t="n">
        <f aca="false">ROUND(0.0024*I41,2)</f>
        <v>6.26</v>
      </c>
      <c r="K85" s="66"/>
    </row>
    <row r="86" customFormat="false" ht="32.25" hidden="false" customHeight="true" outlineLevel="0" collapsed="false">
      <c r="A86" s="100" t="s">
        <v>14</v>
      </c>
      <c r="B86" s="99" t="s">
        <v>96</v>
      </c>
      <c r="C86" s="99"/>
      <c r="D86" s="99"/>
      <c r="E86" s="99"/>
      <c r="F86" s="99"/>
      <c r="G86" s="99"/>
      <c r="H86" s="99"/>
      <c r="I86" s="207" t="n">
        <v>0</v>
      </c>
      <c r="N86" s="101"/>
    </row>
    <row r="87" customFormat="false" ht="18" hidden="false" customHeight="true" outlineLevel="0" collapsed="false">
      <c r="A87" s="17" t="s">
        <v>40</v>
      </c>
      <c r="B87" s="83" t="s">
        <v>97</v>
      </c>
      <c r="C87" s="83"/>
      <c r="D87" s="83"/>
      <c r="E87" s="83"/>
      <c r="F87" s="83"/>
      <c r="G87" s="83"/>
      <c r="H87" s="83"/>
      <c r="I87" s="207" t="n">
        <f aca="false">ROUND(I86*H67,2)</f>
        <v>0</v>
      </c>
      <c r="J87" s="13"/>
      <c r="K87" s="13"/>
      <c r="L87" s="102"/>
    </row>
    <row r="88" customFormat="false" ht="48.75" hidden="false" customHeight="true" outlineLevel="0" collapsed="false">
      <c r="A88" s="17" t="s">
        <v>42</v>
      </c>
      <c r="B88" s="95" t="s">
        <v>98</v>
      </c>
      <c r="C88" s="95"/>
      <c r="D88" s="95"/>
      <c r="E88" s="95"/>
      <c r="F88" s="95"/>
      <c r="G88" s="95"/>
      <c r="H88" s="95"/>
      <c r="I88" s="220" t="n">
        <f aca="false">ROUND(0.0476*I41,2)</f>
        <v>124.25</v>
      </c>
      <c r="J88" s="13"/>
      <c r="K88" s="66"/>
      <c r="L88" s="13"/>
    </row>
    <row r="89" customFormat="false" ht="20.25" hidden="false" customHeight="true" outlineLevel="0" collapsed="false">
      <c r="A89" s="60" t="s">
        <v>76</v>
      </c>
      <c r="B89" s="60"/>
      <c r="C89" s="60"/>
      <c r="D89" s="60"/>
      <c r="E89" s="60"/>
      <c r="F89" s="60"/>
      <c r="G89" s="60"/>
      <c r="H89" s="60"/>
      <c r="I89" s="210" t="n">
        <f aca="false">SUM(I83:I88)</f>
        <v>142.26</v>
      </c>
    </row>
    <row r="90" customFormat="false" ht="20.25" hidden="false" customHeight="true" outlineLevel="0" collapsed="false">
      <c r="A90" s="79" t="s">
        <v>99</v>
      </c>
      <c r="B90" s="79"/>
      <c r="C90" s="79"/>
      <c r="D90" s="79"/>
      <c r="E90" s="79"/>
      <c r="F90" s="79"/>
      <c r="G90" s="79"/>
      <c r="H90" s="79"/>
      <c r="I90" s="79"/>
    </row>
    <row r="91" customFormat="false" ht="15.75" hidden="false" customHeight="false" outlineLevel="0" collapsed="false">
      <c r="A91" s="62" t="s">
        <v>100</v>
      </c>
      <c r="B91" s="81" t="s">
        <v>101</v>
      </c>
      <c r="C91" s="81"/>
      <c r="D91" s="81"/>
      <c r="E91" s="81"/>
      <c r="F91" s="81"/>
      <c r="G91" s="81"/>
      <c r="H91" s="81"/>
      <c r="I91" s="204" t="s">
        <v>35</v>
      </c>
    </row>
    <row r="92" customFormat="false" ht="49.5" hidden="false" customHeight="true" outlineLevel="0" collapsed="false">
      <c r="A92" s="17" t="s">
        <v>8</v>
      </c>
      <c r="B92" s="95" t="s">
        <v>102</v>
      </c>
      <c r="C92" s="95"/>
      <c r="D92" s="95"/>
      <c r="E92" s="95"/>
      <c r="F92" s="95"/>
      <c r="G92" s="95"/>
      <c r="H92" s="95"/>
      <c r="I92" s="220" t="n">
        <f aca="false">ROUND(0.121*I41,2)</f>
        <v>315.85</v>
      </c>
      <c r="K92" s="66"/>
    </row>
    <row r="93" customFormat="false" ht="17.25" hidden="false" customHeight="true" outlineLevel="0" collapsed="false">
      <c r="A93" s="17" t="s">
        <v>10</v>
      </c>
      <c r="B93" s="52" t="s">
        <v>103</v>
      </c>
      <c r="C93" s="52"/>
      <c r="D93" s="52"/>
      <c r="E93" s="52"/>
      <c r="F93" s="52"/>
      <c r="G93" s="52"/>
      <c r="H93" s="52"/>
      <c r="I93" s="207" t="n">
        <f aca="false">ROUND(((I41/30)*5)/12,2)</f>
        <v>36.25</v>
      </c>
    </row>
    <row r="94" customFormat="false" ht="16.5" hidden="false" customHeight="true" outlineLevel="0" collapsed="false">
      <c r="A94" s="17" t="s">
        <v>12</v>
      </c>
      <c r="B94" s="52" t="s">
        <v>104</v>
      </c>
      <c r="C94" s="52"/>
      <c r="D94" s="52"/>
      <c r="E94" s="52"/>
      <c r="F94" s="52"/>
      <c r="G94" s="52"/>
      <c r="H94" s="52"/>
      <c r="I94" s="207" t="n">
        <f aca="false">ROUND((((I41/30)*5)/12)*0.015,2)</f>
        <v>0.54</v>
      </c>
    </row>
    <row r="95" customFormat="false" ht="17.25" hidden="false" customHeight="true" outlineLevel="0" collapsed="false">
      <c r="A95" s="17" t="s">
        <v>14</v>
      </c>
      <c r="B95" s="52" t="s">
        <v>105</v>
      </c>
      <c r="C95" s="52"/>
      <c r="D95" s="52"/>
      <c r="E95" s="52"/>
      <c r="F95" s="52"/>
      <c r="G95" s="52"/>
      <c r="H95" s="52"/>
      <c r="I95" s="207" t="n">
        <f aca="false">ROUND(((I41/30)*2.96)/12,2)</f>
        <v>21.46</v>
      </c>
    </row>
    <row r="96" customFormat="false" ht="16.5" hidden="false" customHeight="true" outlineLevel="0" collapsed="false">
      <c r="A96" s="17" t="s">
        <v>40</v>
      </c>
      <c r="B96" s="52" t="s">
        <v>106</v>
      </c>
      <c r="C96" s="52"/>
      <c r="D96" s="52"/>
      <c r="E96" s="52"/>
      <c r="F96" s="52"/>
      <c r="G96" s="52"/>
      <c r="H96" s="52"/>
      <c r="I96" s="207" t="n">
        <f aca="false">ROUND((((I41/30)*15)/12)*0.0078,2)</f>
        <v>0.85</v>
      </c>
    </row>
    <row r="97" customFormat="false" ht="15.75" hidden="false" customHeight="false" outlineLevel="0" collapsed="false">
      <c r="A97" s="97" t="s">
        <v>83</v>
      </c>
      <c r="B97" s="97"/>
      <c r="C97" s="97"/>
      <c r="D97" s="97"/>
      <c r="E97" s="97"/>
      <c r="F97" s="97"/>
      <c r="G97" s="97"/>
      <c r="H97" s="97"/>
      <c r="I97" s="223" t="n">
        <f aca="false">SUM(I92:I96)</f>
        <v>374.95</v>
      </c>
      <c r="K97" s="66"/>
    </row>
    <row r="98" customFormat="false" ht="15.75" hidden="false" customHeight="false" outlineLevel="0" collapsed="false">
      <c r="A98" s="17" t="s">
        <v>70</v>
      </c>
      <c r="B98" s="83" t="s">
        <v>107</v>
      </c>
      <c r="C98" s="83"/>
      <c r="D98" s="83"/>
      <c r="E98" s="83"/>
      <c r="F98" s="83"/>
      <c r="G98" s="83"/>
      <c r="H98" s="83"/>
      <c r="I98" s="224" t="n">
        <f aca="false">ROUND(I97*H67,2)</f>
        <v>132.36</v>
      </c>
      <c r="K98" s="66"/>
    </row>
    <row r="99" customFormat="false" ht="15.75" hidden="false" customHeight="false" outlineLevel="0" collapsed="false">
      <c r="A99" s="60" t="s">
        <v>76</v>
      </c>
      <c r="B99" s="60"/>
      <c r="C99" s="60"/>
      <c r="D99" s="60"/>
      <c r="E99" s="60"/>
      <c r="F99" s="60"/>
      <c r="G99" s="60"/>
      <c r="H99" s="60"/>
      <c r="I99" s="210" t="n">
        <f aca="false">SUM(I97+I98)</f>
        <v>507.31</v>
      </c>
      <c r="K99" s="66"/>
    </row>
    <row r="100" customFormat="false" ht="15.75" hidden="false" customHeight="false" outlineLevel="0" collapsed="false">
      <c r="A100" s="104" t="s">
        <v>108</v>
      </c>
      <c r="B100" s="104"/>
      <c r="C100" s="104"/>
      <c r="D100" s="104"/>
      <c r="E100" s="104"/>
      <c r="F100" s="104"/>
      <c r="G100" s="104"/>
      <c r="H100" s="104"/>
      <c r="I100" s="104"/>
    </row>
    <row r="101" customFormat="false" ht="15.75" hidden="false" customHeight="false" outlineLevel="0" collapsed="false">
      <c r="A101" s="62" t="n">
        <v>4</v>
      </c>
      <c r="B101" s="81" t="s">
        <v>109</v>
      </c>
      <c r="C101" s="81"/>
      <c r="D101" s="81"/>
      <c r="E101" s="81"/>
      <c r="F101" s="81"/>
      <c r="G101" s="81"/>
      <c r="H101" s="81"/>
      <c r="I101" s="204" t="s">
        <v>35</v>
      </c>
    </row>
    <row r="102" customFormat="false" ht="15.75" hidden="false" customHeight="false" outlineLevel="0" collapsed="false">
      <c r="A102" s="17" t="s">
        <v>61</v>
      </c>
      <c r="B102" s="83" t="s">
        <v>62</v>
      </c>
      <c r="C102" s="83"/>
      <c r="D102" s="83"/>
      <c r="E102" s="83"/>
      <c r="F102" s="83"/>
      <c r="G102" s="83"/>
      <c r="H102" s="83"/>
      <c r="I102" s="75" t="n">
        <f aca="false">I67</f>
        <v>921.46</v>
      </c>
    </row>
    <row r="103" customFormat="false" ht="15.75" hidden="false" customHeight="false" outlineLevel="0" collapsed="false">
      <c r="A103" s="17" t="s">
        <v>80</v>
      </c>
      <c r="B103" s="83" t="s">
        <v>110</v>
      </c>
      <c r="C103" s="83"/>
      <c r="D103" s="83"/>
      <c r="E103" s="83"/>
      <c r="F103" s="83"/>
      <c r="G103" s="83"/>
      <c r="H103" s="83"/>
      <c r="I103" s="75" t="n">
        <f aca="false">I75</f>
        <v>294.32</v>
      </c>
    </row>
    <row r="104" customFormat="false" ht="15.75" hidden="false" customHeight="false" outlineLevel="0" collapsed="false">
      <c r="A104" s="17" t="s">
        <v>86</v>
      </c>
      <c r="B104" s="83" t="s">
        <v>87</v>
      </c>
      <c r="C104" s="83"/>
      <c r="D104" s="83"/>
      <c r="E104" s="83"/>
      <c r="F104" s="83"/>
      <c r="G104" s="83"/>
      <c r="H104" s="83"/>
      <c r="I104" s="75" t="n">
        <f aca="false">I80</f>
        <v>2.61</v>
      </c>
    </row>
    <row r="105" customFormat="false" ht="15.75" hidden="false" customHeight="false" outlineLevel="0" collapsed="false">
      <c r="A105" s="17" t="s">
        <v>91</v>
      </c>
      <c r="B105" s="83" t="s">
        <v>111</v>
      </c>
      <c r="C105" s="83"/>
      <c r="D105" s="83"/>
      <c r="E105" s="83"/>
      <c r="F105" s="83"/>
      <c r="G105" s="83"/>
      <c r="H105" s="83"/>
      <c r="I105" s="75" t="n">
        <f aca="false">I89</f>
        <v>142.26</v>
      </c>
    </row>
    <row r="106" customFormat="false" ht="15.75" hidden="false" customHeight="false" outlineLevel="0" collapsed="false">
      <c r="A106" s="17" t="s">
        <v>100</v>
      </c>
      <c r="B106" s="83" t="s">
        <v>112</v>
      </c>
      <c r="C106" s="83"/>
      <c r="D106" s="83"/>
      <c r="E106" s="83"/>
      <c r="F106" s="83"/>
      <c r="G106" s="83"/>
      <c r="H106" s="83"/>
      <c r="I106" s="75" t="n">
        <f aca="false">I99</f>
        <v>507.31</v>
      </c>
    </row>
    <row r="107" customFormat="false" ht="15.75" hidden="false" customHeight="false" outlineLevel="0" collapsed="false">
      <c r="A107" s="60" t="s">
        <v>76</v>
      </c>
      <c r="B107" s="60"/>
      <c r="C107" s="60"/>
      <c r="D107" s="60"/>
      <c r="E107" s="60"/>
      <c r="F107" s="60"/>
      <c r="G107" s="60"/>
      <c r="H107" s="60"/>
      <c r="I107" s="210" t="n">
        <f aca="false">SUM(I102:I106)</f>
        <v>1867.96</v>
      </c>
      <c r="K107" s="106"/>
    </row>
    <row r="108" customFormat="false" ht="16.5" hidden="false" customHeight="true" outlineLevel="0" collapsed="false">
      <c r="A108" s="107" t="s">
        <v>113</v>
      </c>
      <c r="B108" s="107"/>
      <c r="C108" s="107"/>
      <c r="D108" s="107"/>
      <c r="E108" s="107"/>
      <c r="F108" s="107"/>
      <c r="G108" s="107"/>
      <c r="H108" s="107"/>
      <c r="I108" s="107"/>
    </row>
    <row r="109" customFormat="false" ht="15.75" hidden="false" customHeight="false" outlineLevel="0" collapsed="false">
      <c r="A109" s="62" t="n">
        <v>5</v>
      </c>
      <c r="B109" s="63" t="s">
        <v>114</v>
      </c>
      <c r="C109" s="63"/>
      <c r="D109" s="63"/>
      <c r="E109" s="63"/>
      <c r="F109" s="63"/>
      <c r="G109" s="63"/>
      <c r="H109" s="108" t="s">
        <v>63</v>
      </c>
      <c r="I109" s="204" t="s">
        <v>35</v>
      </c>
    </row>
    <row r="110" customFormat="false" ht="49.5" hidden="false" customHeight="true" outlineLevel="0" collapsed="false">
      <c r="A110" s="109" t="s">
        <v>115</v>
      </c>
      <c r="B110" s="109"/>
      <c r="C110" s="109"/>
      <c r="D110" s="109"/>
      <c r="E110" s="109"/>
      <c r="F110" s="109"/>
      <c r="G110" s="109"/>
      <c r="H110" s="110" t="n">
        <v>0</v>
      </c>
      <c r="I110" s="226" t="n">
        <f aca="false">(I41+I50+I55+I107)</f>
        <v>5412.134375</v>
      </c>
    </row>
    <row r="111" customFormat="false" ht="15.75" hidden="false" customHeight="false" outlineLevel="0" collapsed="false">
      <c r="A111" s="17" t="s">
        <v>8</v>
      </c>
      <c r="B111" s="83" t="s">
        <v>116</v>
      </c>
      <c r="C111" s="83"/>
      <c r="D111" s="83"/>
      <c r="E111" s="83"/>
      <c r="F111" s="83"/>
      <c r="G111" s="83"/>
      <c r="H111" s="112" t="n">
        <f aca="false">'São Borja 8.1'!H112</f>
        <v>0.1207</v>
      </c>
      <c r="I111" s="207" t="n">
        <f aca="false">ROUND(I110*H111,2)</f>
        <v>653.24</v>
      </c>
      <c r="J111" s="113"/>
    </row>
    <row r="112" customFormat="false" ht="50.25" hidden="false" customHeight="true" outlineLevel="0" collapsed="false">
      <c r="A112" s="109" t="s">
        <v>117</v>
      </c>
      <c r="B112" s="109"/>
      <c r="C112" s="109"/>
      <c r="D112" s="109"/>
      <c r="E112" s="109"/>
      <c r="F112" s="109"/>
      <c r="G112" s="109"/>
      <c r="H112" s="114" t="n">
        <v>0</v>
      </c>
      <c r="I112" s="228" t="n">
        <f aca="false">I110+I111</f>
        <v>6065.374375</v>
      </c>
      <c r="J112" s="113"/>
    </row>
    <row r="113" customFormat="false" ht="15.75" hidden="false" customHeight="false" outlineLevel="0" collapsed="false">
      <c r="A113" s="17" t="s">
        <v>10</v>
      </c>
      <c r="B113" s="83" t="s">
        <v>118</v>
      </c>
      <c r="C113" s="83"/>
      <c r="D113" s="83"/>
      <c r="E113" s="83"/>
      <c r="F113" s="83"/>
      <c r="G113" s="83"/>
      <c r="H113" s="112" t="n">
        <f aca="false">'São Borja 8.1'!H114</f>
        <v>0.0818</v>
      </c>
      <c r="I113" s="207" t="n">
        <f aca="false">ROUND(I112*H113,2)</f>
        <v>496.15</v>
      </c>
      <c r="J113" s="116"/>
    </row>
    <row r="114" customFormat="false" ht="46.5" hidden="false" customHeight="true" outlineLevel="0" collapsed="false">
      <c r="A114" s="109" t="s">
        <v>119</v>
      </c>
      <c r="B114" s="109"/>
      <c r="C114" s="109"/>
      <c r="D114" s="109"/>
      <c r="E114" s="109"/>
      <c r="F114" s="109"/>
      <c r="G114" s="109"/>
      <c r="H114" s="117" t="n">
        <v>0</v>
      </c>
      <c r="I114" s="231" t="n">
        <f aca="false">I112+I113</f>
        <v>6561.524375</v>
      </c>
      <c r="J114" s="116"/>
    </row>
    <row r="115" customFormat="false" ht="15.75" hidden="false" customHeight="false" outlineLevel="0" collapsed="false">
      <c r="A115" s="17" t="s">
        <v>12</v>
      </c>
      <c r="B115" s="83" t="s">
        <v>120</v>
      </c>
      <c r="C115" s="83"/>
      <c r="D115" s="83"/>
      <c r="E115" s="83"/>
      <c r="F115" s="83"/>
      <c r="G115" s="83"/>
      <c r="H115" s="119" t="s">
        <v>198</v>
      </c>
      <c r="I115" s="232" t="s">
        <v>198</v>
      </c>
      <c r="J115" s="116"/>
    </row>
    <row r="116" customFormat="false" ht="15.75" hidden="false" customHeight="false" outlineLevel="0" collapsed="false">
      <c r="A116" s="17"/>
      <c r="B116" s="83" t="s">
        <v>121</v>
      </c>
      <c r="C116" s="83"/>
      <c r="D116" s="83"/>
      <c r="E116" s="83"/>
      <c r="F116" s="83"/>
      <c r="G116" s="83"/>
      <c r="H116" s="119" t="s">
        <v>198</v>
      </c>
      <c r="I116" s="232" t="s">
        <v>198</v>
      </c>
    </row>
    <row r="117" customFormat="false" ht="32.25" hidden="false" customHeight="true" outlineLevel="0" collapsed="false">
      <c r="A117" s="17"/>
      <c r="B117" s="67" t="s">
        <v>199</v>
      </c>
      <c r="C117" s="67"/>
      <c r="D117" s="67"/>
      <c r="E117" s="67"/>
      <c r="F117" s="67"/>
      <c r="G117" s="67"/>
      <c r="H117" s="121" t="n">
        <v>0.03</v>
      </c>
      <c r="I117" s="207" t="n">
        <f aca="false">ROUND(($I$114/(1-H124))*H117,2)</f>
        <v>215.49</v>
      </c>
    </row>
    <row r="118" customFormat="false" ht="27.75" hidden="false" customHeight="true" outlineLevel="0" collapsed="false">
      <c r="A118" s="17"/>
      <c r="B118" s="67" t="s">
        <v>200</v>
      </c>
      <c r="C118" s="67"/>
      <c r="D118" s="67"/>
      <c r="E118" s="67"/>
      <c r="F118" s="67"/>
      <c r="G118" s="67"/>
      <c r="H118" s="121" t="n">
        <v>0.0065</v>
      </c>
      <c r="I118" s="207" t="n">
        <f aca="false">ROUND(($I$114/(1-H124))*H118,2)</f>
        <v>46.69</v>
      </c>
      <c r="K118" s="66"/>
    </row>
    <row r="119" customFormat="false" ht="29.25" hidden="false" customHeight="true" outlineLevel="0" collapsed="false">
      <c r="A119" s="17"/>
      <c r="B119" s="122" t="s">
        <v>124</v>
      </c>
      <c r="C119" s="122"/>
      <c r="D119" s="122"/>
      <c r="E119" s="122"/>
      <c r="F119" s="122"/>
      <c r="G119" s="122"/>
      <c r="H119" s="121" t="s">
        <v>198</v>
      </c>
      <c r="I119" s="232" t="s">
        <v>198</v>
      </c>
      <c r="K119" s="66"/>
    </row>
    <row r="120" customFormat="false" ht="15.75" hidden="false" customHeight="false" outlineLevel="0" collapsed="false">
      <c r="A120" s="17"/>
      <c r="B120" s="83" t="s">
        <v>125</v>
      </c>
      <c r="C120" s="83"/>
      <c r="D120" s="83"/>
      <c r="E120" s="83"/>
      <c r="F120" s="83"/>
      <c r="G120" s="83"/>
      <c r="H120" s="119" t="s">
        <v>198</v>
      </c>
      <c r="I120" s="232" t="s">
        <v>198</v>
      </c>
    </row>
    <row r="121" customFormat="false" ht="15.75" hidden="false" customHeight="false" outlineLevel="0" collapsed="false">
      <c r="A121" s="17"/>
      <c r="B121" s="83" t="s">
        <v>126</v>
      </c>
      <c r="C121" s="83"/>
      <c r="D121" s="83"/>
      <c r="E121" s="83"/>
      <c r="F121" s="83"/>
      <c r="G121" s="83"/>
      <c r="H121" s="119" t="s">
        <v>198</v>
      </c>
      <c r="I121" s="232" t="s">
        <v>198</v>
      </c>
      <c r="K121" s="66"/>
    </row>
    <row r="122" customFormat="false" ht="15.75" hidden="false" customHeight="false" outlineLevel="0" collapsed="false">
      <c r="A122" s="17"/>
      <c r="B122" s="52" t="s">
        <v>230</v>
      </c>
      <c r="C122" s="52"/>
      <c r="D122" s="52"/>
      <c r="E122" s="52"/>
      <c r="F122" s="52"/>
      <c r="G122" s="52"/>
      <c r="H122" s="124" t="n">
        <v>0.05</v>
      </c>
      <c r="I122" s="207" t="n">
        <f aca="false">ROUND(($I$114/(1-H124))*H122,2)</f>
        <v>359.14</v>
      </c>
    </row>
    <row r="123" customFormat="false" ht="15.75" hidden="false" customHeight="false" outlineLevel="0" collapsed="false">
      <c r="A123" s="125" t="s">
        <v>76</v>
      </c>
      <c r="B123" s="125"/>
      <c r="C123" s="125"/>
      <c r="D123" s="125"/>
      <c r="E123" s="125"/>
      <c r="F123" s="125"/>
      <c r="G123" s="125"/>
      <c r="H123" s="125"/>
      <c r="I123" s="234" t="n">
        <f aca="false">I111+I113+I117+I118+I122</f>
        <v>1770.71</v>
      </c>
    </row>
    <row r="124" customFormat="false" ht="15.75" hidden="false" customHeight="false" outlineLevel="0" collapsed="false">
      <c r="A124" s="127" t="s">
        <v>128</v>
      </c>
      <c r="B124" s="127"/>
      <c r="C124" s="127"/>
      <c r="D124" s="127"/>
      <c r="E124" s="127"/>
      <c r="F124" s="127"/>
      <c r="G124" s="127"/>
      <c r="H124" s="128" t="n">
        <f aca="false">SUM(H117:H122)</f>
        <v>0.0865</v>
      </c>
      <c r="I124" s="235" t="n">
        <f aca="false">SUM(I117+I118+I122)</f>
        <v>621.32</v>
      </c>
    </row>
    <row r="125" customFormat="false" ht="15.75" hidden="false" customHeight="false" outlineLevel="0" collapsed="false">
      <c r="A125" s="130" t="s">
        <v>129</v>
      </c>
      <c r="B125" s="130"/>
      <c r="C125" s="293" t="s">
        <v>130</v>
      </c>
      <c r="D125" s="293"/>
      <c r="E125" s="293"/>
      <c r="F125" s="293"/>
      <c r="G125" s="293"/>
      <c r="H125" s="293"/>
      <c r="I125" s="293"/>
    </row>
    <row r="126" customFormat="false" ht="15" hidden="false" customHeight="false" outlineLevel="0" collapsed="false">
      <c r="A126" s="130"/>
      <c r="B126" s="130"/>
      <c r="C126" s="294" t="s">
        <v>131</v>
      </c>
      <c r="D126" s="294"/>
      <c r="E126" s="294"/>
      <c r="F126" s="294"/>
      <c r="G126" s="294"/>
      <c r="H126" s="294"/>
      <c r="I126" s="294"/>
    </row>
    <row r="127" customFormat="false" ht="15.75" hidden="false" customHeight="false" outlineLevel="0" collapsed="false">
      <c r="A127" s="133" t="s">
        <v>132</v>
      </c>
      <c r="B127" s="133"/>
      <c r="C127" s="133"/>
      <c r="D127" s="133"/>
      <c r="E127" s="133"/>
      <c r="F127" s="133"/>
      <c r="G127" s="133"/>
      <c r="H127" s="133"/>
      <c r="I127" s="133"/>
    </row>
    <row r="128" customFormat="false" ht="15.75" hidden="false" customHeight="false" outlineLevel="0" collapsed="false">
      <c r="A128" s="94" t="s">
        <v>133</v>
      </c>
      <c r="B128" s="94"/>
      <c r="C128" s="94"/>
      <c r="D128" s="94"/>
      <c r="E128" s="94"/>
      <c r="F128" s="94"/>
      <c r="G128" s="94"/>
      <c r="H128" s="94"/>
      <c r="I128" s="94"/>
    </row>
    <row r="129" customFormat="false" ht="15.75" hidden="false" customHeight="false" outlineLevel="0" collapsed="false">
      <c r="A129" s="295"/>
      <c r="B129" s="295"/>
      <c r="C129" s="295"/>
      <c r="D129" s="295"/>
      <c r="E129" s="295"/>
      <c r="F129" s="295"/>
      <c r="G129" s="295"/>
      <c r="H129" s="295"/>
      <c r="I129" s="295"/>
    </row>
    <row r="130" customFormat="false" ht="15.75" hidden="false" customHeight="false" outlineLevel="0" collapsed="false">
      <c r="A130" s="33" t="s">
        <v>134</v>
      </c>
      <c r="B130" s="33"/>
      <c r="C130" s="33"/>
      <c r="D130" s="33"/>
      <c r="E130" s="33"/>
      <c r="F130" s="33"/>
      <c r="G130" s="33"/>
      <c r="H130" s="33"/>
      <c r="I130" s="33"/>
    </row>
    <row r="131" customFormat="false" ht="15.75" hidden="false" customHeight="false" outlineLevel="0" collapsed="false">
      <c r="A131" s="135" t="s">
        <v>135</v>
      </c>
      <c r="B131" s="135"/>
      <c r="C131" s="135"/>
      <c r="D131" s="135"/>
      <c r="E131" s="135"/>
      <c r="F131" s="135"/>
      <c r="G131" s="135"/>
      <c r="H131" s="135"/>
      <c r="I131" s="135"/>
    </row>
    <row r="132" customFormat="false" ht="15.75" hidden="false" customHeight="false" outlineLevel="0" collapsed="false">
      <c r="A132" s="136" t="s">
        <v>136</v>
      </c>
      <c r="B132" s="136"/>
      <c r="C132" s="136"/>
      <c r="D132" s="136"/>
      <c r="E132" s="136"/>
      <c r="F132" s="136"/>
      <c r="G132" s="136"/>
      <c r="H132" s="136"/>
      <c r="I132" s="313" t="s">
        <v>35</v>
      </c>
    </row>
    <row r="133" customFormat="false" ht="15.75" hidden="false" customHeight="false" outlineLevel="0" collapsed="false">
      <c r="A133" s="14" t="s">
        <v>8</v>
      </c>
      <c r="B133" s="15" t="s">
        <v>137</v>
      </c>
      <c r="C133" s="15"/>
      <c r="D133" s="15"/>
      <c r="E133" s="15"/>
      <c r="F133" s="15"/>
      <c r="G133" s="15"/>
      <c r="H133" s="15"/>
      <c r="I133" s="314" t="n">
        <f aca="false">I41</f>
        <v>2610.34</v>
      </c>
    </row>
    <row r="134" customFormat="false" ht="15.75" hidden="false" customHeight="false" outlineLevel="0" collapsed="false">
      <c r="A134" s="14" t="s">
        <v>10</v>
      </c>
      <c r="B134" s="15" t="s">
        <v>138</v>
      </c>
      <c r="C134" s="15"/>
      <c r="D134" s="15"/>
      <c r="E134" s="15"/>
      <c r="F134" s="15"/>
      <c r="G134" s="15"/>
      <c r="H134" s="15"/>
      <c r="I134" s="314" t="n">
        <f aca="false">I50</f>
        <v>727.32</v>
      </c>
    </row>
    <row r="135" customFormat="false" ht="15.75" hidden="false" customHeight="false" outlineLevel="0" collapsed="false">
      <c r="A135" s="14" t="s">
        <v>12</v>
      </c>
      <c r="B135" s="15" t="s">
        <v>139</v>
      </c>
      <c r="C135" s="15"/>
      <c r="D135" s="15"/>
      <c r="E135" s="15"/>
      <c r="F135" s="15"/>
      <c r="G135" s="15"/>
      <c r="H135" s="15"/>
      <c r="I135" s="315" t="n">
        <f aca="false">I55</f>
        <v>206.514375</v>
      </c>
    </row>
    <row r="136" customFormat="false" ht="15.75" hidden="false" customHeight="false" outlineLevel="0" collapsed="false">
      <c r="A136" s="14" t="s">
        <v>14</v>
      </c>
      <c r="B136" s="15" t="s">
        <v>109</v>
      </c>
      <c r="C136" s="15"/>
      <c r="D136" s="15"/>
      <c r="E136" s="15"/>
      <c r="F136" s="15"/>
      <c r="G136" s="15"/>
      <c r="H136" s="15"/>
      <c r="I136" s="314" t="n">
        <f aca="false">I107</f>
        <v>1867.96</v>
      </c>
    </row>
    <row r="137" customFormat="false" ht="15.75" hidden="false" customHeight="false" outlineLevel="0" collapsed="false">
      <c r="A137" s="140" t="s">
        <v>140</v>
      </c>
      <c r="B137" s="140"/>
      <c r="C137" s="140"/>
      <c r="D137" s="140"/>
      <c r="E137" s="140"/>
      <c r="F137" s="140"/>
      <c r="G137" s="140"/>
      <c r="H137" s="140"/>
      <c r="I137" s="316" t="n">
        <f aca="false">SUM(I133:I136)</f>
        <v>5412.134375</v>
      </c>
    </row>
    <row r="138" customFormat="false" ht="15.75" hidden="false" customHeight="false" outlineLevel="0" collapsed="false">
      <c r="A138" s="14" t="s">
        <v>40</v>
      </c>
      <c r="B138" s="15" t="s">
        <v>141</v>
      </c>
      <c r="C138" s="15"/>
      <c r="D138" s="15"/>
      <c r="E138" s="15"/>
      <c r="F138" s="15"/>
      <c r="G138" s="15"/>
      <c r="H138" s="15"/>
      <c r="I138" s="314" t="n">
        <f aca="false">I123</f>
        <v>1770.71</v>
      </c>
    </row>
    <row r="139" customFormat="false" ht="15.75" hidden="false" customHeight="false" outlineLevel="0" collapsed="false">
      <c r="A139" s="143" t="s">
        <v>142</v>
      </c>
      <c r="B139" s="143"/>
      <c r="C139" s="143"/>
      <c r="D139" s="143"/>
      <c r="E139" s="143"/>
      <c r="F139" s="143"/>
      <c r="G139" s="143"/>
      <c r="H139" s="143"/>
      <c r="I139" s="317" t="n">
        <f aca="false">SUM(I137+I138)</f>
        <v>7182.844375</v>
      </c>
    </row>
    <row r="140" customFormat="false" ht="15.75" hidden="false" customHeight="false" outlineLevel="0" collapsed="false">
      <c r="A140" s="301"/>
      <c r="B140" s="301"/>
      <c r="C140" s="301"/>
      <c r="D140" s="301"/>
      <c r="E140" s="301"/>
      <c r="F140" s="301"/>
      <c r="G140" s="301"/>
      <c r="H140" s="301"/>
      <c r="I140" s="301"/>
    </row>
    <row r="141" customFormat="false" ht="15.75" hidden="false" customHeight="false" outlineLevel="0" collapsed="false">
      <c r="A141" s="33" t="s">
        <v>143</v>
      </c>
      <c r="B141" s="33"/>
      <c r="C141" s="33"/>
      <c r="D141" s="33"/>
      <c r="E141" s="33"/>
      <c r="F141" s="33"/>
      <c r="G141" s="33"/>
      <c r="H141" s="33"/>
      <c r="I141" s="33"/>
    </row>
    <row r="142" customFormat="false" ht="15.75" hidden="false" customHeight="false" outlineLevel="0" collapsed="false">
      <c r="A142" s="146" t="s">
        <v>144</v>
      </c>
      <c r="B142" s="146"/>
      <c r="C142" s="146"/>
      <c r="D142" s="146"/>
      <c r="E142" s="146"/>
      <c r="F142" s="146"/>
      <c r="G142" s="146"/>
      <c r="H142" s="146"/>
      <c r="I142" s="146"/>
    </row>
    <row r="143" customFormat="false" ht="47.25" hidden="false" customHeight="true" outlineLevel="0" collapsed="false">
      <c r="A143" s="147" t="s">
        <v>145</v>
      </c>
      <c r="B143" s="147"/>
      <c r="C143" s="148" t="s">
        <v>146</v>
      </c>
      <c r="D143" s="148"/>
      <c r="E143" s="149" t="s">
        <v>147</v>
      </c>
      <c r="F143" s="148" t="s">
        <v>148</v>
      </c>
      <c r="G143" s="148"/>
      <c r="H143" s="148" t="s">
        <v>149</v>
      </c>
      <c r="I143" s="247" t="s">
        <v>150</v>
      </c>
    </row>
    <row r="144" customFormat="false" ht="16.5" hidden="false" customHeight="true" outlineLevel="0" collapsed="false">
      <c r="A144" s="151" t="s">
        <v>26</v>
      </c>
      <c r="B144" s="151"/>
      <c r="C144" s="152" t="n">
        <f aca="false">I139</f>
        <v>7182.844375</v>
      </c>
      <c r="D144" s="152"/>
      <c r="E144" s="153" t="s">
        <v>216</v>
      </c>
      <c r="F144" s="154" t="n">
        <f aca="false">C144</f>
        <v>7182.844375</v>
      </c>
      <c r="G144" s="154"/>
      <c r="H144" s="155" t="n">
        <v>1</v>
      </c>
      <c r="I144" s="253" t="n">
        <f aca="false">F144*H144</f>
        <v>7182.844375</v>
      </c>
    </row>
    <row r="145" customFormat="false" ht="15.75" hidden="false" customHeight="false" outlineLevel="0" collapsed="false">
      <c r="A145" s="301"/>
      <c r="B145" s="301"/>
      <c r="C145" s="301"/>
      <c r="D145" s="301"/>
      <c r="E145" s="301"/>
      <c r="F145" s="301"/>
      <c r="G145" s="301"/>
      <c r="H145" s="301"/>
      <c r="I145" s="301"/>
    </row>
    <row r="146" customFormat="false" ht="15.75" hidden="false" customHeight="false" outlineLevel="0" collapsed="false">
      <c r="A146" s="33" t="s">
        <v>151</v>
      </c>
      <c r="B146" s="33"/>
      <c r="C146" s="33"/>
      <c r="D146" s="33"/>
      <c r="E146" s="33"/>
      <c r="F146" s="33"/>
      <c r="G146" s="33"/>
      <c r="H146" s="33"/>
      <c r="I146" s="33"/>
    </row>
    <row r="147" customFormat="false" ht="15.75" hidden="false" customHeight="false" outlineLevel="0" collapsed="false">
      <c r="A147" s="146" t="s">
        <v>152</v>
      </c>
      <c r="B147" s="146"/>
      <c r="C147" s="146"/>
      <c r="D147" s="146"/>
      <c r="E147" s="146"/>
      <c r="F147" s="146"/>
      <c r="G147" s="146"/>
      <c r="H147" s="146"/>
      <c r="I147" s="146"/>
    </row>
    <row r="148" customFormat="false" ht="15.75" hidden="false" customHeight="false" outlineLevel="0" collapsed="false">
      <c r="A148" s="157" t="s">
        <v>153</v>
      </c>
      <c r="B148" s="157"/>
      <c r="C148" s="157"/>
      <c r="D148" s="157"/>
      <c r="E148" s="157"/>
      <c r="F148" s="157"/>
      <c r="G148" s="157"/>
      <c r="H148" s="157"/>
      <c r="I148" s="157"/>
    </row>
    <row r="149" customFormat="false" ht="15.75" hidden="false" customHeight="false" outlineLevel="0" collapsed="false">
      <c r="A149" s="158" t="s">
        <v>8</v>
      </c>
      <c r="B149" s="15" t="s">
        <v>154</v>
      </c>
      <c r="C149" s="15"/>
      <c r="D149" s="15"/>
      <c r="E149" s="15"/>
      <c r="F149" s="15"/>
      <c r="G149" s="15"/>
      <c r="H149" s="15"/>
      <c r="I149" s="318" t="n">
        <f aca="false">F144</f>
        <v>7182.844375</v>
      </c>
    </row>
    <row r="150" customFormat="false" ht="15.75" hidden="false" customHeight="false" outlineLevel="0" collapsed="false">
      <c r="A150" s="158" t="s">
        <v>10</v>
      </c>
      <c r="B150" s="15" t="s">
        <v>155</v>
      </c>
      <c r="C150" s="15"/>
      <c r="D150" s="15"/>
      <c r="E150" s="15"/>
      <c r="F150" s="15"/>
      <c r="G150" s="15"/>
      <c r="H150" s="15"/>
      <c r="I150" s="319" t="n">
        <f aca="false">I144</f>
        <v>7182.844375</v>
      </c>
    </row>
    <row r="151" customFormat="false" ht="16.5" hidden="false" customHeight="true" outlineLevel="0" collapsed="false">
      <c r="A151" s="161" t="s">
        <v>12</v>
      </c>
      <c r="B151" s="162" t="s">
        <v>156</v>
      </c>
      <c r="C151" s="162"/>
      <c r="D151" s="162"/>
      <c r="E151" s="162"/>
      <c r="F151" s="162"/>
      <c r="G151" s="162"/>
      <c r="H151" s="162"/>
      <c r="I151" s="320" t="n">
        <f aca="false">I150*12</f>
        <v>86194.1325</v>
      </c>
    </row>
  </sheetData>
  <mergeCells count="156">
    <mergeCell ref="A8:I8"/>
    <mergeCell ref="A9:I9"/>
    <mergeCell ref="A10:I10"/>
    <mergeCell ref="A11:I11"/>
    <mergeCell ref="A12:I12"/>
    <mergeCell ref="A13:I13"/>
    <mergeCell ref="A14:I14"/>
    <mergeCell ref="B15:H15"/>
    <mergeCell ref="B16:H16"/>
    <mergeCell ref="B17:H17"/>
    <mergeCell ref="B18:H18"/>
    <mergeCell ref="A19:I19"/>
    <mergeCell ref="A20:D20"/>
    <mergeCell ref="E20:F20"/>
    <mergeCell ref="G20:I20"/>
    <mergeCell ref="A21:D21"/>
    <mergeCell ref="E21:F22"/>
    <mergeCell ref="G21:I22"/>
    <mergeCell ref="A22:D22"/>
    <mergeCell ref="B23:I23"/>
    <mergeCell ref="A24:I24"/>
    <mergeCell ref="A25:I25"/>
    <mergeCell ref="A26:I26"/>
    <mergeCell ref="B27:H27"/>
    <mergeCell ref="B28:H28"/>
    <mergeCell ref="B29:H29"/>
    <mergeCell ref="B30:H30"/>
    <mergeCell ref="B31:H31"/>
    <mergeCell ref="B32:H32"/>
    <mergeCell ref="B33:H33"/>
    <mergeCell ref="A34:I34"/>
    <mergeCell ref="A35:I35"/>
    <mergeCell ref="B36:H36"/>
    <mergeCell ref="B37:H37"/>
    <mergeCell ref="B38:H38"/>
    <mergeCell ref="B39:H39"/>
    <mergeCell ref="B40:H40"/>
    <mergeCell ref="A41:H41"/>
    <mergeCell ref="A42:I42"/>
    <mergeCell ref="B43:H43"/>
    <mergeCell ref="A44:A46"/>
    <mergeCell ref="B44:H44"/>
    <mergeCell ref="B45:G45"/>
    <mergeCell ref="B46:G46"/>
    <mergeCell ref="A47:A48"/>
    <mergeCell ref="B47:H47"/>
    <mergeCell ref="B48:G48"/>
    <mergeCell ref="B49:H49"/>
    <mergeCell ref="A50:H50"/>
    <mergeCell ref="A51:I51"/>
    <mergeCell ref="A52:I52"/>
    <mergeCell ref="B53:H53"/>
    <mergeCell ref="B54:H54"/>
    <mergeCell ref="A55:H55"/>
    <mergeCell ref="A56:I56"/>
    <mergeCell ref="A57:I57"/>
    <mergeCell ref="B58:G58"/>
    <mergeCell ref="B59:G59"/>
    <mergeCell ref="B60:G60"/>
    <mergeCell ref="B61:G61"/>
    <mergeCell ref="B62:G62"/>
    <mergeCell ref="B63:G63"/>
    <mergeCell ref="B64:G64"/>
    <mergeCell ref="B65:E65"/>
    <mergeCell ref="B66:G66"/>
    <mergeCell ref="A67:G67"/>
    <mergeCell ref="A68:I68"/>
    <mergeCell ref="A69:I69"/>
    <mergeCell ref="A70:I70"/>
    <mergeCell ref="B71:H71"/>
    <mergeCell ref="B72:H72"/>
    <mergeCell ref="A73:H73"/>
    <mergeCell ref="B74:H74"/>
    <mergeCell ref="A75:H75"/>
    <mergeCell ref="A76:I76"/>
    <mergeCell ref="B77:H77"/>
    <mergeCell ref="B78:H78"/>
    <mergeCell ref="B79:H79"/>
    <mergeCell ref="A80:H80"/>
    <mergeCell ref="A81:I81"/>
    <mergeCell ref="B82:H82"/>
    <mergeCell ref="B83:H83"/>
    <mergeCell ref="B84:H84"/>
    <mergeCell ref="B85:H85"/>
    <mergeCell ref="B86:H86"/>
    <mergeCell ref="B87:H87"/>
    <mergeCell ref="B88:H88"/>
    <mergeCell ref="A89:H89"/>
    <mergeCell ref="A90:I90"/>
    <mergeCell ref="B91:H91"/>
    <mergeCell ref="B92:H92"/>
    <mergeCell ref="B93:H93"/>
    <mergeCell ref="B94:H94"/>
    <mergeCell ref="B95:H95"/>
    <mergeCell ref="B96:H96"/>
    <mergeCell ref="A97:H97"/>
    <mergeCell ref="B98:H98"/>
    <mergeCell ref="A99:H99"/>
    <mergeCell ref="A100:I100"/>
    <mergeCell ref="B101:H101"/>
    <mergeCell ref="B102:H102"/>
    <mergeCell ref="B103:H103"/>
    <mergeCell ref="B104:H104"/>
    <mergeCell ref="B105:H105"/>
    <mergeCell ref="B106:H106"/>
    <mergeCell ref="A107:H107"/>
    <mergeCell ref="A108:I108"/>
    <mergeCell ref="B109:G109"/>
    <mergeCell ref="A110:G110"/>
    <mergeCell ref="B111:G111"/>
    <mergeCell ref="A112:G112"/>
    <mergeCell ref="B113:G113"/>
    <mergeCell ref="A114:G114"/>
    <mergeCell ref="A115:A122"/>
    <mergeCell ref="B115:G115"/>
    <mergeCell ref="B116:G116"/>
    <mergeCell ref="B117:G117"/>
    <mergeCell ref="B118:G118"/>
    <mergeCell ref="B119:G119"/>
    <mergeCell ref="B120:G120"/>
    <mergeCell ref="B121:G121"/>
    <mergeCell ref="B122:G122"/>
    <mergeCell ref="A123:H123"/>
    <mergeCell ref="A124:G124"/>
    <mergeCell ref="A125:B126"/>
    <mergeCell ref="C125:I125"/>
    <mergeCell ref="C126:I126"/>
    <mergeCell ref="A127:I127"/>
    <mergeCell ref="A128:I128"/>
    <mergeCell ref="A129:I129"/>
    <mergeCell ref="A130:I130"/>
    <mergeCell ref="A131:I131"/>
    <mergeCell ref="A132:H132"/>
    <mergeCell ref="B133:H133"/>
    <mergeCell ref="B134:H134"/>
    <mergeCell ref="B135:H135"/>
    <mergeCell ref="B136:H136"/>
    <mergeCell ref="A137:H137"/>
    <mergeCell ref="B138:H138"/>
    <mergeCell ref="A139:H139"/>
    <mergeCell ref="A140:I140"/>
    <mergeCell ref="A141:I141"/>
    <mergeCell ref="A142:I142"/>
    <mergeCell ref="A143:B143"/>
    <mergeCell ref="C143:D143"/>
    <mergeCell ref="F143:G143"/>
    <mergeCell ref="A144:B144"/>
    <mergeCell ref="C144:D144"/>
    <mergeCell ref="F144:G144"/>
    <mergeCell ref="A145:I145"/>
    <mergeCell ref="A146:I146"/>
    <mergeCell ref="A147:I147"/>
    <mergeCell ref="A148:I148"/>
    <mergeCell ref="B149:H149"/>
    <mergeCell ref="B150:H150"/>
    <mergeCell ref="B151:H151"/>
  </mergeCells>
  <printOptions headings="false" gridLines="false" gridLinesSet="true" horizontalCentered="false" verticalCentered="false"/>
  <pageMargins left="0.698611111111111" right="0.698611111111111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5" man="true" max="16383" min="0"/>
    <brk id="107" man="true" max="16383" min="0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true"/>
  </sheetPr>
  <dimension ref="A1:M150"/>
  <sheetViews>
    <sheetView showFormulas="false" showGridLines="true" showRowColHeaders="true" showZeros="true" rightToLeft="false" tabSelected="false" showOutlineSymbols="true" defaultGridColor="true" view="pageBreakPreview" topLeftCell="A133" colorId="64" zoomScale="76" zoomScaleNormal="100" zoomScalePageLayoutView="76" workbookViewId="0">
      <selection pane="topLeft" activeCell="I109" activeCellId="0" sqref="I109"/>
    </sheetView>
  </sheetViews>
  <sheetFormatPr defaultRowHeight="15" zeroHeight="false" outlineLevelRow="0" outlineLevelCol="0"/>
  <cols>
    <col collapsed="false" customWidth="true" hidden="false" outlineLevel="0" max="1" min="1" style="172" width="14.57"/>
    <col collapsed="false" customWidth="true" hidden="false" outlineLevel="0" max="2" min="2" style="172" width="17.59"/>
    <col collapsed="false" customWidth="true" hidden="false" outlineLevel="0" max="3" min="3" style="172" width="15.71"/>
    <col collapsed="false" customWidth="true" hidden="false" outlineLevel="0" max="4" min="4" style="172" width="16"/>
    <col collapsed="false" customWidth="true" hidden="false" outlineLevel="0" max="5" min="5" style="172" width="16.57"/>
    <col collapsed="false" customWidth="true" hidden="false" outlineLevel="0" max="6" min="6" style="172" width="15.15"/>
    <col collapsed="false" customWidth="true" hidden="false" outlineLevel="0" max="7" min="7" style="172" width="19.99"/>
    <col collapsed="false" customWidth="true" hidden="false" outlineLevel="0" max="8" min="8" style="172" width="29.57"/>
    <col collapsed="false" customWidth="true" hidden="false" outlineLevel="0" max="9" min="9" style="172" width="37.14"/>
    <col collapsed="false" customWidth="true" hidden="true" outlineLevel="0" max="11" min="10" style="172" width="9"/>
    <col collapsed="false" customWidth="true" hidden="false" outlineLevel="0" max="12" min="12" style="172" width="58.57"/>
    <col collapsed="false" customWidth="true" hidden="false" outlineLevel="0" max="13" min="13" style="172" width="58"/>
    <col collapsed="false" customWidth="true" hidden="false" outlineLevel="0" max="1025" min="14" style="172" width="28.57"/>
  </cols>
  <sheetData>
    <row r="1" customFormat="false" ht="15.75" hidden="false" customHeight="false" outlineLevel="0" collapsed="false">
      <c r="A1" s="173" t="s">
        <v>178</v>
      </c>
      <c r="I1" s="171"/>
    </row>
    <row r="2" customFormat="false" ht="15.75" hidden="false" customHeight="false" outlineLevel="0" collapsed="false">
      <c r="A2" s="173" t="s">
        <v>179</v>
      </c>
      <c r="I2" s="171"/>
    </row>
    <row r="3" customFormat="false" ht="15.75" hidden="false" customHeight="false" outlineLevel="0" collapsed="false">
      <c r="A3" s="173" t="s">
        <v>180</v>
      </c>
      <c r="I3" s="171"/>
    </row>
    <row r="4" customFormat="false" ht="15.75" hidden="false" customHeight="false" outlineLevel="0" collapsed="false">
      <c r="A4" s="173" t="s">
        <v>181</v>
      </c>
      <c r="I4" s="171"/>
    </row>
    <row r="5" customFormat="false" ht="15.75" hidden="false" customHeight="false" outlineLevel="0" collapsed="false">
      <c r="A5" s="173" t="s">
        <v>182</v>
      </c>
      <c r="I5" s="171"/>
    </row>
    <row r="6" customFormat="false" ht="15.75" hidden="false" customHeight="false" outlineLevel="0" collapsed="false">
      <c r="A6" s="173" t="s">
        <v>183</v>
      </c>
      <c r="I6" s="171"/>
    </row>
    <row r="7" customFormat="false" ht="15.75" hidden="false" customHeight="false" outlineLevel="0" collapsed="false">
      <c r="A7" s="174" t="s">
        <v>184</v>
      </c>
      <c r="I7" s="171"/>
    </row>
    <row r="8" customFormat="false" ht="18" hidden="false" customHeight="true" outlineLevel="0" collapsed="false">
      <c r="A8" s="175" t="s">
        <v>1</v>
      </c>
      <c r="B8" s="175"/>
      <c r="C8" s="175"/>
      <c r="D8" s="175"/>
      <c r="E8" s="175"/>
      <c r="F8" s="175"/>
      <c r="G8" s="175"/>
      <c r="H8" s="175"/>
      <c r="I8" s="175"/>
    </row>
    <row r="9" customFormat="false" ht="18.75" hidden="false" customHeight="true" outlineLevel="0" collapsed="false">
      <c r="A9" s="176" t="s">
        <v>2</v>
      </c>
      <c r="B9" s="176"/>
      <c r="C9" s="176"/>
      <c r="D9" s="176"/>
      <c r="E9" s="176"/>
      <c r="F9" s="176"/>
      <c r="G9" s="176"/>
      <c r="H9" s="176"/>
      <c r="I9" s="176"/>
    </row>
    <row r="10" customFormat="false" ht="21" hidden="false" customHeight="true" outlineLevel="0" collapsed="false">
      <c r="A10" s="177" t="s">
        <v>3</v>
      </c>
      <c r="B10" s="177"/>
      <c r="C10" s="177"/>
      <c r="D10" s="177"/>
      <c r="E10" s="177"/>
      <c r="F10" s="177"/>
      <c r="G10" s="177"/>
      <c r="H10" s="177"/>
      <c r="I10" s="177"/>
    </row>
    <row r="11" customFormat="false" ht="15.75" hidden="false" customHeight="false" outlineLevel="0" collapsed="false">
      <c r="A11" s="178" t="s">
        <v>4</v>
      </c>
      <c r="B11" s="178"/>
      <c r="C11" s="178"/>
      <c r="D11" s="178"/>
      <c r="E11" s="178"/>
      <c r="F11" s="178"/>
      <c r="G11" s="178"/>
      <c r="H11" s="178"/>
      <c r="I11" s="178"/>
    </row>
    <row r="12" customFormat="false" ht="15.75" hidden="false" customHeight="false" outlineLevel="0" collapsed="false">
      <c r="A12" s="133" t="s">
        <v>5</v>
      </c>
      <c r="B12" s="133"/>
      <c r="C12" s="133"/>
      <c r="D12" s="133"/>
      <c r="E12" s="133"/>
      <c r="F12" s="133"/>
      <c r="G12" s="133"/>
      <c r="H12" s="133"/>
      <c r="I12" s="133"/>
    </row>
    <row r="13" customFormat="false" ht="15.75" hidden="false" customHeight="false" outlineLevel="0" collapsed="false">
      <c r="A13" s="94" t="s">
        <v>6</v>
      </c>
      <c r="B13" s="94"/>
      <c r="C13" s="94"/>
      <c r="D13" s="94"/>
      <c r="E13" s="94"/>
      <c r="F13" s="94"/>
      <c r="G13" s="94"/>
      <c r="H13" s="94"/>
      <c r="I13" s="94"/>
    </row>
    <row r="14" customFormat="false" ht="21" hidden="false" customHeight="true" outlineLevel="0" collapsed="false">
      <c r="A14" s="179" t="s">
        <v>7</v>
      </c>
      <c r="B14" s="179"/>
      <c r="C14" s="179"/>
      <c r="D14" s="179"/>
      <c r="E14" s="179"/>
      <c r="F14" s="179"/>
      <c r="G14" s="179"/>
      <c r="H14" s="179"/>
      <c r="I14" s="179"/>
    </row>
    <row r="15" customFormat="false" ht="15.75" hidden="false" customHeight="true" outlineLevel="0" collapsed="false">
      <c r="A15" s="180" t="s">
        <v>8</v>
      </c>
      <c r="B15" s="181" t="s">
        <v>9</v>
      </c>
      <c r="C15" s="181"/>
      <c r="D15" s="181"/>
      <c r="E15" s="181"/>
      <c r="F15" s="181"/>
      <c r="G15" s="181"/>
      <c r="H15" s="181"/>
      <c r="I15" s="182"/>
    </row>
    <row r="16" customFormat="false" ht="15.75" hidden="false" customHeight="false" outlineLevel="0" collapsed="false">
      <c r="A16" s="17" t="s">
        <v>10</v>
      </c>
      <c r="B16" s="83" t="s">
        <v>11</v>
      </c>
      <c r="C16" s="83"/>
      <c r="D16" s="83"/>
      <c r="E16" s="83"/>
      <c r="F16" s="83"/>
      <c r="G16" s="83"/>
      <c r="H16" s="83"/>
      <c r="I16" s="183" t="s">
        <v>185</v>
      </c>
    </row>
    <row r="17" customFormat="false" ht="47.25" hidden="false" customHeight="true" outlineLevel="0" collapsed="false">
      <c r="A17" s="17" t="s">
        <v>12</v>
      </c>
      <c r="B17" s="67" t="s">
        <v>13</v>
      </c>
      <c r="C17" s="67"/>
      <c r="D17" s="67"/>
      <c r="E17" s="67"/>
      <c r="F17" s="67"/>
      <c r="G17" s="67"/>
      <c r="H17" s="67"/>
      <c r="I17" s="184" t="s">
        <v>186</v>
      </c>
    </row>
    <row r="18" customFormat="false" ht="18" hidden="false" customHeight="true" outlineLevel="0" collapsed="false">
      <c r="A18" s="185" t="s">
        <v>14</v>
      </c>
      <c r="B18" s="186" t="s">
        <v>15</v>
      </c>
      <c r="C18" s="186"/>
      <c r="D18" s="186"/>
      <c r="E18" s="186"/>
      <c r="F18" s="186"/>
      <c r="G18" s="186"/>
      <c r="H18" s="186"/>
      <c r="I18" s="187" t="n">
        <v>12</v>
      </c>
    </row>
    <row r="19" customFormat="false" ht="15.75" hidden="false" customHeight="true" outlineLevel="0" collapsed="false">
      <c r="A19" s="179" t="s">
        <v>16</v>
      </c>
      <c r="B19" s="179"/>
      <c r="C19" s="179"/>
      <c r="D19" s="179"/>
      <c r="E19" s="179"/>
      <c r="F19" s="179"/>
      <c r="G19" s="179"/>
      <c r="H19" s="179"/>
      <c r="I19" s="179"/>
    </row>
    <row r="20" customFormat="false" ht="15.75" hidden="false" customHeight="false" outlineLevel="0" collapsed="false">
      <c r="A20" s="188" t="s">
        <v>17</v>
      </c>
      <c r="B20" s="188"/>
      <c r="C20" s="188"/>
      <c r="D20" s="188"/>
      <c r="E20" s="49" t="s">
        <v>18</v>
      </c>
      <c r="F20" s="49"/>
      <c r="G20" s="189" t="s">
        <v>19</v>
      </c>
      <c r="H20" s="189"/>
      <c r="I20" s="189"/>
    </row>
    <row r="21" customFormat="false" ht="15" hidden="false" customHeight="true" outlineLevel="0" collapsed="false">
      <c r="A21" s="190" t="s">
        <v>20</v>
      </c>
      <c r="B21" s="190"/>
      <c r="C21" s="190"/>
      <c r="D21" s="190"/>
      <c r="E21" s="27" t="s">
        <v>21</v>
      </c>
      <c r="F21" s="27"/>
      <c r="G21" s="28" t="n">
        <v>1</v>
      </c>
      <c r="H21" s="28"/>
      <c r="I21" s="28"/>
    </row>
    <row r="22" customFormat="false" ht="20.45" hidden="false" customHeight="true" outlineLevel="0" collapsed="false">
      <c r="A22" s="191" t="s">
        <v>187</v>
      </c>
      <c r="B22" s="191"/>
      <c r="C22" s="191"/>
      <c r="D22" s="191"/>
      <c r="E22" s="27"/>
      <c r="F22" s="27"/>
      <c r="G22" s="28"/>
      <c r="H22" s="28"/>
      <c r="I22" s="28"/>
      <c r="L22" s="192"/>
    </row>
    <row r="23" customFormat="false" ht="9.75" hidden="false" customHeight="true" outlineLevel="0" collapsed="false">
      <c r="A23" s="193"/>
      <c r="B23" s="194"/>
      <c r="C23" s="194"/>
      <c r="D23" s="194"/>
      <c r="E23" s="194"/>
      <c r="F23" s="194"/>
      <c r="G23" s="194"/>
      <c r="H23" s="194"/>
      <c r="I23" s="194"/>
    </row>
    <row r="24" customFormat="false" ht="15.75" hidden="false" customHeight="false" outlineLevel="0" collapsed="false">
      <c r="A24" s="195" t="s">
        <v>22</v>
      </c>
      <c r="B24" s="195"/>
      <c r="C24" s="195"/>
      <c r="D24" s="195"/>
      <c r="E24" s="195"/>
      <c r="F24" s="195"/>
      <c r="G24" s="195"/>
      <c r="H24" s="195"/>
      <c r="I24" s="195"/>
    </row>
    <row r="25" customFormat="false" ht="18.75" hidden="false" customHeight="true" outlineLevel="0" collapsed="false">
      <c r="A25" s="47" t="s">
        <v>23</v>
      </c>
      <c r="B25" s="47"/>
      <c r="C25" s="47"/>
      <c r="D25" s="47"/>
      <c r="E25" s="47"/>
      <c r="F25" s="47"/>
      <c r="G25" s="47"/>
      <c r="H25" s="47"/>
      <c r="I25" s="47"/>
    </row>
    <row r="26" customFormat="false" ht="15.75" hidden="false" customHeight="false" outlineLevel="0" collapsed="false">
      <c r="A26" s="196" t="s">
        <v>24</v>
      </c>
      <c r="B26" s="196"/>
      <c r="C26" s="196"/>
      <c r="D26" s="196"/>
      <c r="E26" s="196"/>
      <c r="F26" s="196"/>
      <c r="G26" s="196"/>
      <c r="H26" s="196"/>
      <c r="I26" s="196"/>
    </row>
    <row r="27" customFormat="false" ht="18" hidden="false" customHeight="true" outlineLevel="0" collapsed="false">
      <c r="A27" s="17" t="n">
        <v>1</v>
      </c>
      <c r="B27" s="197" t="s">
        <v>25</v>
      </c>
      <c r="C27" s="197"/>
      <c r="D27" s="197"/>
      <c r="E27" s="197"/>
      <c r="F27" s="197"/>
      <c r="G27" s="197"/>
      <c r="H27" s="197"/>
      <c r="I27" s="184" t="s">
        <v>26</v>
      </c>
    </row>
    <row r="28" customFormat="false" ht="16.5" hidden="false" customHeight="true" outlineLevel="0" collapsed="false">
      <c r="A28" s="17" t="n">
        <v>2</v>
      </c>
      <c r="B28" s="58" t="s">
        <v>27</v>
      </c>
      <c r="C28" s="58"/>
      <c r="D28" s="58"/>
      <c r="E28" s="58"/>
      <c r="F28" s="58"/>
      <c r="G28" s="58"/>
      <c r="H28" s="58"/>
      <c r="I28" s="198" t="n">
        <f aca="false">Dados!B2</f>
        <v>1305.17</v>
      </c>
    </row>
    <row r="29" customFormat="false" ht="17.25" hidden="false" customHeight="true" outlineLevel="0" collapsed="false">
      <c r="A29" s="17" t="n">
        <v>3</v>
      </c>
      <c r="B29" s="58" t="s">
        <v>28</v>
      </c>
      <c r="C29" s="58"/>
      <c r="D29" s="58"/>
      <c r="E29" s="58"/>
      <c r="F29" s="58"/>
      <c r="G29" s="58"/>
      <c r="H29" s="58"/>
      <c r="I29" s="183" t="s">
        <v>188</v>
      </c>
    </row>
    <row r="30" customFormat="false" ht="17.25" hidden="false" customHeight="true" outlineLevel="0" collapsed="false">
      <c r="A30" s="199" t="n">
        <v>4</v>
      </c>
      <c r="B30" s="200" t="s">
        <v>29</v>
      </c>
      <c r="C30" s="200"/>
      <c r="D30" s="200"/>
      <c r="E30" s="200"/>
      <c r="F30" s="200"/>
      <c r="G30" s="200"/>
      <c r="H30" s="200"/>
      <c r="I30" s="201" t="n">
        <v>42005</v>
      </c>
    </row>
    <row r="31" customFormat="false" ht="19.5" hidden="false" customHeight="true" outlineLevel="0" collapsed="false">
      <c r="A31" s="199" t="n">
        <v>5</v>
      </c>
      <c r="B31" s="58" t="s">
        <v>30</v>
      </c>
      <c r="C31" s="58"/>
      <c r="D31" s="58"/>
      <c r="E31" s="58"/>
      <c r="F31" s="58"/>
      <c r="G31" s="58"/>
      <c r="H31" s="58"/>
      <c r="I31" s="201" t="n">
        <f aca="false">I28/220</f>
        <v>5.93259090909091</v>
      </c>
    </row>
    <row r="32" customFormat="false" ht="19.5" hidden="false" customHeight="true" outlineLevel="0" collapsed="false">
      <c r="A32" s="199" t="n">
        <v>6</v>
      </c>
      <c r="B32" s="58" t="s">
        <v>31</v>
      </c>
      <c r="C32" s="58"/>
      <c r="D32" s="58"/>
      <c r="E32" s="58"/>
      <c r="F32" s="58"/>
      <c r="G32" s="58"/>
      <c r="H32" s="58"/>
      <c r="I32" s="201" t="n">
        <f aca="false">I31*1.5</f>
        <v>8.89888636363636</v>
      </c>
    </row>
    <row r="33" customFormat="false" ht="18.75" hidden="false" customHeight="true" outlineLevel="0" collapsed="false">
      <c r="A33" s="185" t="n">
        <v>7</v>
      </c>
      <c r="B33" s="202" t="s">
        <v>32</v>
      </c>
      <c r="C33" s="202"/>
      <c r="D33" s="202"/>
      <c r="E33" s="202"/>
      <c r="F33" s="202"/>
      <c r="G33" s="202"/>
      <c r="H33" s="202"/>
      <c r="I33" s="187" t="n">
        <f aca="false">I31*0.2</f>
        <v>1.18651818181818</v>
      </c>
    </row>
    <row r="34" customFormat="false" ht="9.75" hidden="false" customHeight="true" outlineLevel="0" collapsed="false">
      <c r="A34" s="203"/>
      <c r="B34" s="203"/>
      <c r="C34" s="203"/>
      <c r="D34" s="203"/>
      <c r="E34" s="203"/>
      <c r="F34" s="203"/>
      <c r="G34" s="203"/>
      <c r="H34" s="203"/>
      <c r="I34" s="203"/>
    </row>
    <row r="35" customFormat="false" ht="22.5" hidden="false" customHeight="true" outlineLevel="0" collapsed="false">
      <c r="A35" s="47" t="s">
        <v>33</v>
      </c>
      <c r="B35" s="47"/>
      <c r="C35" s="47"/>
      <c r="D35" s="47"/>
      <c r="E35" s="47"/>
      <c r="F35" s="47"/>
      <c r="G35" s="47"/>
      <c r="H35" s="47"/>
      <c r="I35" s="47"/>
    </row>
    <row r="36" customFormat="false" ht="15.75" hidden="false" customHeight="false" outlineLevel="0" collapsed="false">
      <c r="A36" s="48" t="n">
        <v>1</v>
      </c>
      <c r="B36" s="49" t="s">
        <v>34</v>
      </c>
      <c r="C36" s="49"/>
      <c r="D36" s="49"/>
      <c r="E36" s="49"/>
      <c r="F36" s="49"/>
      <c r="G36" s="49"/>
      <c r="H36" s="49"/>
      <c r="I36" s="204" t="s">
        <v>35</v>
      </c>
      <c r="L36" s="205"/>
    </row>
    <row r="37" customFormat="false" ht="15.75" hidden="false" customHeight="false" outlineLevel="0" collapsed="false">
      <c r="A37" s="17" t="s">
        <v>8</v>
      </c>
      <c r="B37" s="206" t="s">
        <v>189</v>
      </c>
      <c r="C37" s="206"/>
      <c r="D37" s="206"/>
      <c r="E37" s="206"/>
      <c r="F37" s="206"/>
      <c r="G37" s="206"/>
      <c r="H37" s="206"/>
      <c r="I37" s="207" t="n">
        <f aca="false">ROUND(I31*180*2,2)</f>
        <v>2135.73</v>
      </c>
      <c r="L37" s="205"/>
    </row>
    <row r="38" customFormat="false" ht="19.5" hidden="false" customHeight="true" outlineLevel="0" collapsed="false">
      <c r="A38" s="17" t="s">
        <v>10</v>
      </c>
      <c r="B38" s="54" t="s">
        <v>190</v>
      </c>
      <c r="C38" s="54"/>
      <c r="D38" s="54"/>
      <c r="E38" s="54"/>
      <c r="F38" s="54"/>
      <c r="G38" s="54"/>
      <c r="H38" s="54"/>
      <c r="I38" s="207" t="n">
        <f aca="false">ROUND(I32*26*2*(15/60),2)</f>
        <v>115.69</v>
      </c>
      <c r="L38" s="208"/>
    </row>
    <row r="39" customFormat="false" ht="19.5" hidden="false" customHeight="true" outlineLevel="0" collapsed="false">
      <c r="A39" s="17" t="s">
        <v>12</v>
      </c>
      <c r="B39" s="58" t="s">
        <v>43</v>
      </c>
      <c r="C39" s="58"/>
      <c r="D39" s="58"/>
      <c r="E39" s="58"/>
      <c r="F39" s="58"/>
      <c r="G39" s="58"/>
      <c r="H39" s="58"/>
      <c r="I39" s="207" t="n">
        <f aca="false">SUM(I38:I38)*0.2</f>
        <v>23.138</v>
      </c>
      <c r="K39" s="209"/>
    </row>
    <row r="40" customFormat="false" ht="18" hidden="false" customHeight="true" outlineLevel="0" collapsed="false">
      <c r="A40" s="60" t="s">
        <v>44</v>
      </c>
      <c r="B40" s="60"/>
      <c r="C40" s="60"/>
      <c r="D40" s="60"/>
      <c r="E40" s="60"/>
      <c r="F40" s="60"/>
      <c r="G40" s="60"/>
      <c r="H40" s="60"/>
      <c r="I40" s="210" t="n">
        <f aca="false">SUM(I37:I39)</f>
        <v>2274.558</v>
      </c>
    </row>
    <row r="41" customFormat="false" ht="22.5" hidden="false" customHeight="true" outlineLevel="0" collapsed="false">
      <c r="A41" s="47" t="s">
        <v>45</v>
      </c>
      <c r="B41" s="47"/>
      <c r="C41" s="47"/>
      <c r="D41" s="47"/>
      <c r="E41" s="47"/>
      <c r="F41" s="47"/>
      <c r="G41" s="47"/>
      <c r="H41" s="47"/>
      <c r="I41" s="47"/>
    </row>
    <row r="42" customFormat="false" ht="15.75" hidden="false" customHeight="false" outlineLevel="0" collapsed="false">
      <c r="A42" s="62" t="n">
        <v>2</v>
      </c>
      <c r="B42" s="63" t="s">
        <v>46</v>
      </c>
      <c r="C42" s="63"/>
      <c r="D42" s="63"/>
      <c r="E42" s="63"/>
      <c r="F42" s="63"/>
      <c r="G42" s="63"/>
      <c r="H42" s="63"/>
      <c r="I42" s="204" t="s">
        <v>35</v>
      </c>
    </row>
    <row r="43" customFormat="false" ht="16.5" hidden="false" customHeight="true" outlineLevel="0" collapsed="false">
      <c r="A43" s="64" t="s">
        <v>8</v>
      </c>
      <c r="B43" s="54" t="s">
        <v>191</v>
      </c>
      <c r="C43" s="54"/>
      <c r="D43" s="54"/>
      <c r="E43" s="54"/>
      <c r="F43" s="54"/>
      <c r="G43" s="54"/>
      <c r="H43" s="54"/>
      <c r="I43" s="211" t="n">
        <f aca="false">ROUND((2*H45*H44*26)-(0.06*I37),2)</f>
        <v>183.86</v>
      </c>
      <c r="L43" s="212"/>
    </row>
    <row r="44" customFormat="false" ht="30.75" hidden="false" customHeight="true" outlineLevel="0" collapsed="false">
      <c r="A44" s="64"/>
      <c r="B44" s="99" t="s">
        <v>192</v>
      </c>
      <c r="C44" s="99"/>
      <c r="D44" s="99"/>
      <c r="E44" s="99"/>
      <c r="F44" s="99"/>
      <c r="G44" s="99"/>
      <c r="H44" s="213" t="n">
        <f aca="false">Dados!B9</f>
        <v>3</v>
      </c>
      <c r="I44" s="207"/>
    </row>
    <row r="45" customFormat="false" ht="17.25" hidden="false" customHeight="true" outlineLevel="0" collapsed="false">
      <c r="A45" s="64"/>
      <c r="B45" s="83" t="s">
        <v>49</v>
      </c>
      <c r="C45" s="83"/>
      <c r="D45" s="83"/>
      <c r="E45" s="83"/>
      <c r="F45" s="83"/>
      <c r="G45" s="83"/>
      <c r="H45" s="88" t="n">
        <v>2</v>
      </c>
      <c r="I45" s="207"/>
    </row>
    <row r="46" customFormat="false" ht="16.5" hidden="false" customHeight="true" outlineLevel="0" collapsed="false">
      <c r="A46" s="64" t="s">
        <v>10</v>
      </c>
      <c r="B46" s="58" t="s">
        <v>193</v>
      </c>
      <c r="C46" s="58"/>
      <c r="D46" s="58"/>
      <c r="E46" s="58"/>
      <c r="F46" s="58"/>
      <c r="G46" s="58"/>
      <c r="H46" s="58"/>
      <c r="I46" s="207" t="n">
        <f aca="false">ROUND((2*26*H47)*(1-0.18),2)</f>
        <v>356.47</v>
      </c>
    </row>
    <row r="47" customFormat="false" ht="19.5" hidden="false" customHeight="true" outlineLevel="0" collapsed="false">
      <c r="A47" s="64"/>
      <c r="B47" s="83" t="s">
        <v>51</v>
      </c>
      <c r="C47" s="83"/>
      <c r="D47" s="83"/>
      <c r="E47" s="83"/>
      <c r="F47" s="83"/>
      <c r="G47" s="83"/>
      <c r="H47" s="214" t="n">
        <f aca="false">Dados!B4</f>
        <v>8.36</v>
      </c>
      <c r="I47" s="215"/>
    </row>
    <row r="48" customFormat="false" ht="27.75" hidden="false" customHeight="true" outlineLevel="0" collapsed="false">
      <c r="A48" s="17" t="s">
        <v>12</v>
      </c>
      <c r="B48" s="58" t="s">
        <v>194</v>
      </c>
      <c r="C48" s="58"/>
      <c r="D48" s="58"/>
      <c r="E48" s="58"/>
      <c r="F48" s="58"/>
      <c r="G48" s="58"/>
      <c r="H48" s="58"/>
      <c r="I48" s="216" t="n">
        <f aca="false">ROUND(Dados!B5*2,2)</f>
        <v>30.04</v>
      </c>
    </row>
    <row r="49" customFormat="false" ht="15.75" hidden="false" customHeight="false" outlineLevel="0" collapsed="false">
      <c r="A49" s="60" t="s">
        <v>53</v>
      </c>
      <c r="B49" s="60"/>
      <c r="C49" s="60"/>
      <c r="D49" s="60"/>
      <c r="E49" s="60"/>
      <c r="F49" s="60"/>
      <c r="G49" s="60"/>
      <c r="H49" s="60"/>
      <c r="I49" s="210" t="n">
        <f aca="false">SUM(I43:I48)</f>
        <v>570.37</v>
      </c>
    </row>
    <row r="50" customFormat="false" ht="15.75" hidden="false" customHeight="false" outlineLevel="0" collapsed="false">
      <c r="A50" s="73" t="s">
        <v>54</v>
      </c>
      <c r="B50" s="73"/>
      <c r="C50" s="73"/>
      <c r="D50" s="73"/>
      <c r="E50" s="73"/>
      <c r="F50" s="73"/>
      <c r="G50" s="73"/>
      <c r="H50" s="73"/>
      <c r="I50" s="73"/>
    </row>
    <row r="51" customFormat="false" ht="21.75" hidden="false" customHeight="true" outlineLevel="0" collapsed="false">
      <c r="A51" s="47" t="s">
        <v>55</v>
      </c>
      <c r="B51" s="47"/>
      <c r="C51" s="47"/>
      <c r="D51" s="47"/>
      <c r="E51" s="47"/>
      <c r="F51" s="47"/>
      <c r="G51" s="47"/>
      <c r="H51" s="47"/>
      <c r="I51" s="47"/>
    </row>
    <row r="52" customFormat="false" ht="15.75" hidden="false" customHeight="false" outlineLevel="0" collapsed="false">
      <c r="A52" s="62" t="n">
        <v>3</v>
      </c>
      <c r="B52" s="63" t="s">
        <v>56</v>
      </c>
      <c r="C52" s="63"/>
      <c r="D52" s="63"/>
      <c r="E52" s="63"/>
      <c r="F52" s="63"/>
      <c r="G52" s="63"/>
      <c r="H52" s="63"/>
      <c r="I52" s="204" t="s">
        <v>35</v>
      </c>
    </row>
    <row r="53" customFormat="false" ht="15.75" hidden="false" customHeight="false" outlineLevel="0" collapsed="false">
      <c r="A53" s="64" t="s">
        <v>8</v>
      </c>
      <c r="B53" s="74" t="s">
        <v>195</v>
      </c>
      <c r="C53" s="74"/>
      <c r="D53" s="74"/>
      <c r="E53" s="74"/>
      <c r="F53" s="74"/>
      <c r="G53" s="74"/>
      <c r="H53" s="74"/>
      <c r="I53" s="75" t="n">
        <f aca="false">Dados!D6*2</f>
        <v>137.67625</v>
      </c>
      <c r="J53" s="217"/>
      <c r="K53" s="218"/>
    </row>
    <row r="54" customFormat="false" ht="15.75" hidden="false" customHeight="false" outlineLevel="0" collapsed="false">
      <c r="A54" s="60" t="s">
        <v>58</v>
      </c>
      <c r="B54" s="60"/>
      <c r="C54" s="60"/>
      <c r="D54" s="60"/>
      <c r="E54" s="60"/>
      <c r="F54" s="60"/>
      <c r="G54" s="60"/>
      <c r="H54" s="60"/>
      <c r="I54" s="78" t="n">
        <f aca="false">SUM(I53:I53)</f>
        <v>137.67625</v>
      </c>
    </row>
    <row r="55" customFormat="false" ht="23.25" hidden="false" customHeight="true" outlineLevel="0" collapsed="false">
      <c r="A55" s="47" t="s">
        <v>59</v>
      </c>
      <c r="B55" s="47"/>
      <c r="C55" s="47"/>
      <c r="D55" s="47"/>
      <c r="E55" s="47"/>
      <c r="F55" s="47"/>
      <c r="G55" s="47"/>
      <c r="H55" s="47"/>
      <c r="I55" s="47"/>
    </row>
    <row r="56" customFormat="false" ht="15.75" hidden="false" customHeight="false" outlineLevel="0" collapsed="false">
      <c r="A56" s="79" t="s">
        <v>60</v>
      </c>
      <c r="B56" s="79"/>
      <c r="C56" s="79"/>
      <c r="D56" s="79"/>
      <c r="E56" s="79"/>
      <c r="F56" s="79"/>
      <c r="G56" s="79"/>
      <c r="H56" s="79"/>
      <c r="I56" s="79"/>
    </row>
    <row r="57" customFormat="false" ht="15.75" hidden="false" customHeight="false" outlineLevel="0" collapsed="false">
      <c r="A57" s="62" t="s">
        <v>61</v>
      </c>
      <c r="B57" s="80" t="s">
        <v>62</v>
      </c>
      <c r="C57" s="80"/>
      <c r="D57" s="80"/>
      <c r="E57" s="80"/>
      <c r="F57" s="80"/>
      <c r="G57" s="80"/>
      <c r="H57" s="81" t="s">
        <v>63</v>
      </c>
      <c r="I57" s="204" t="s">
        <v>35</v>
      </c>
    </row>
    <row r="58" customFormat="false" ht="15.75" hidden="false" customHeight="false" outlineLevel="0" collapsed="false">
      <c r="A58" s="82" t="s">
        <v>8</v>
      </c>
      <c r="B58" s="83" t="s">
        <v>64</v>
      </c>
      <c r="C58" s="83"/>
      <c r="D58" s="83"/>
      <c r="E58" s="83"/>
      <c r="F58" s="83"/>
      <c r="G58" s="83"/>
      <c r="H58" s="84" t="n">
        <v>0.2</v>
      </c>
      <c r="I58" s="207" t="n">
        <f aca="false">ROUND(($I$40-$I$38)*H58,2)</f>
        <v>431.77</v>
      </c>
      <c r="K58" s="212"/>
    </row>
    <row r="59" customFormat="false" ht="15.75" hidden="false" customHeight="false" outlineLevel="0" collapsed="false">
      <c r="A59" s="82" t="s">
        <v>10</v>
      </c>
      <c r="B59" s="83" t="s">
        <v>65</v>
      </c>
      <c r="C59" s="83"/>
      <c r="D59" s="83"/>
      <c r="E59" s="83"/>
      <c r="F59" s="83"/>
      <c r="G59" s="83"/>
      <c r="H59" s="85" t="n">
        <v>0.015</v>
      </c>
      <c r="I59" s="207" t="n">
        <f aca="false">ROUND(($I$40-$I$38)*H59,2)</f>
        <v>32.38</v>
      </c>
      <c r="K59" s="212"/>
    </row>
    <row r="60" customFormat="false" ht="15.75" hidden="false" customHeight="false" outlineLevel="0" collapsed="false">
      <c r="A60" s="82" t="s">
        <v>12</v>
      </c>
      <c r="B60" s="83" t="s">
        <v>66</v>
      </c>
      <c r="C60" s="83"/>
      <c r="D60" s="83"/>
      <c r="E60" s="83"/>
      <c r="F60" s="83"/>
      <c r="G60" s="83"/>
      <c r="H60" s="84" t="n">
        <v>0.01</v>
      </c>
      <c r="I60" s="207" t="n">
        <f aca="false">ROUND(($I$40-$I$38)*H60,2)</f>
        <v>21.59</v>
      </c>
      <c r="K60" s="212"/>
    </row>
    <row r="61" customFormat="false" ht="15.75" hidden="false" customHeight="false" outlineLevel="0" collapsed="false">
      <c r="A61" s="82" t="s">
        <v>14</v>
      </c>
      <c r="B61" s="83" t="s">
        <v>67</v>
      </c>
      <c r="C61" s="83"/>
      <c r="D61" s="83"/>
      <c r="E61" s="83"/>
      <c r="F61" s="83"/>
      <c r="G61" s="83"/>
      <c r="H61" s="86" t="n">
        <v>0.002</v>
      </c>
      <c r="I61" s="207" t="n">
        <f aca="false">ROUND(($I$40-$I$38)*H61,2)</f>
        <v>4.32</v>
      </c>
      <c r="K61" s="212"/>
    </row>
    <row r="62" customFormat="false" ht="15.75" hidden="false" customHeight="false" outlineLevel="0" collapsed="false">
      <c r="A62" s="82" t="s">
        <v>40</v>
      </c>
      <c r="B62" s="83" t="s">
        <v>68</v>
      </c>
      <c r="C62" s="83"/>
      <c r="D62" s="83"/>
      <c r="E62" s="83"/>
      <c r="F62" s="83"/>
      <c r="G62" s="83"/>
      <c r="H62" s="86" t="n">
        <v>0.025</v>
      </c>
      <c r="I62" s="207" t="n">
        <f aca="false">ROUND(($I$40-$I$38)*H62,2)</f>
        <v>53.97</v>
      </c>
      <c r="K62" s="212"/>
    </row>
    <row r="63" customFormat="false" ht="15.75" hidden="false" customHeight="false" outlineLevel="0" collapsed="false">
      <c r="A63" s="82" t="s">
        <v>42</v>
      </c>
      <c r="B63" s="83" t="s">
        <v>69</v>
      </c>
      <c r="C63" s="83"/>
      <c r="D63" s="83"/>
      <c r="E63" s="83"/>
      <c r="F63" s="83"/>
      <c r="G63" s="83"/>
      <c r="H63" s="84" t="n">
        <v>0.08</v>
      </c>
      <c r="I63" s="207" t="n">
        <f aca="false">ROUND(($I$40-$I$38)*H63,2)</f>
        <v>172.71</v>
      </c>
      <c r="K63" s="212"/>
    </row>
    <row r="64" customFormat="false" ht="15.75" hidden="false" customHeight="false" outlineLevel="0" collapsed="false">
      <c r="A64" s="82" t="s">
        <v>70</v>
      </c>
      <c r="B64" s="87" t="s">
        <v>71</v>
      </c>
      <c r="C64" s="87"/>
      <c r="D64" s="87"/>
      <c r="E64" s="87"/>
      <c r="F64" s="88" t="s">
        <v>72</v>
      </c>
      <c r="G64" s="89" t="s">
        <v>196</v>
      </c>
      <c r="H64" s="86" t="n">
        <v>0.015</v>
      </c>
      <c r="I64" s="207" t="n">
        <f aca="false">ROUND(($I$40-$I$38)*H64,2)</f>
        <v>32.38</v>
      </c>
      <c r="K64" s="212"/>
    </row>
    <row r="65" customFormat="false" ht="15.75" hidden="false" customHeight="false" outlineLevel="0" collapsed="false">
      <c r="A65" s="82" t="s">
        <v>74</v>
      </c>
      <c r="B65" s="83" t="s">
        <v>75</v>
      </c>
      <c r="C65" s="83"/>
      <c r="D65" s="83"/>
      <c r="E65" s="83"/>
      <c r="F65" s="83"/>
      <c r="G65" s="83"/>
      <c r="H65" s="86" t="n">
        <v>0.006</v>
      </c>
      <c r="I65" s="207" t="n">
        <f aca="false">ROUND(($I$40-$I$38)*H65,2)</f>
        <v>12.95</v>
      </c>
      <c r="K65" s="212"/>
    </row>
    <row r="66" customFormat="false" ht="15.75" hidden="false" customHeight="false" outlineLevel="0" collapsed="false">
      <c r="A66" s="90" t="s">
        <v>76</v>
      </c>
      <c r="B66" s="90"/>
      <c r="C66" s="90"/>
      <c r="D66" s="90"/>
      <c r="E66" s="90"/>
      <c r="F66" s="90"/>
      <c r="G66" s="90"/>
      <c r="H66" s="91" t="n">
        <f aca="false">SUM(H58:H65)</f>
        <v>0.353</v>
      </c>
      <c r="I66" s="219" t="n">
        <f aca="false">SUM(I58:I65)</f>
        <v>762.07</v>
      </c>
      <c r="K66" s="212"/>
    </row>
    <row r="67" customFormat="false" ht="20.25" hidden="false" customHeight="true" outlineLevel="0" collapsed="false">
      <c r="A67" s="133" t="s">
        <v>77</v>
      </c>
      <c r="B67" s="133"/>
      <c r="C67" s="133"/>
      <c r="D67" s="133"/>
      <c r="E67" s="133"/>
      <c r="F67" s="133"/>
      <c r="G67" s="133"/>
      <c r="H67" s="133"/>
      <c r="I67" s="133"/>
    </row>
    <row r="68" customFormat="false" ht="20.25" hidden="false" customHeight="true" outlineLevel="0" collapsed="false">
      <c r="A68" s="94" t="s">
        <v>78</v>
      </c>
      <c r="B68" s="94"/>
      <c r="C68" s="94"/>
      <c r="D68" s="94"/>
      <c r="E68" s="94"/>
      <c r="F68" s="94"/>
      <c r="G68" s="94"/>
      <c r="H68" s="94"/>
      <c r="I68" s="94"/>
    </row>
    <row r="69" customFormat="false" ht="19.5" hidden="false" customHeight="true" outlineLevel="0" collapsed="false">
      <c r="A69" s="79" t="s">
        <v>79</v>
      </c>
      <c r="B69" s="79"/>
      <c r="C69" s="79"/>
      <c r="D69" s="79"/>
      <c r="E69" s="79"/>
      <c r="F69" s="79"/>
      <c r="G69" s="79"/>
      <c r="H69" s="79"/>
      <c r="I69" s="79"/>
    </row>
    <row r="70" customFormat="false" ht="15.75" hidden="false" customHeight="false" outlineLevel="0" collapsed="false">
      <c r="A70" s="62" t="s">
        <v>80</v>
      </c>
      <c r="B70" s="81" t="s">
        <v>81</v>
      </c>
      <c r="C70" s="81"/>
      <c r="D70" s="81"/>
      <c r="E70" s="81"/>
      <c r="F70" s="81"/>
      <c r="G70" s="81"/>
      <c r="H70" s="81"/>
      <c r="I70" s="204" t="s">
        <v>35</v>
      </c>
    </row>
    <row r="71" customFormat="false" ht="33" hidden="false" customHeight="true" outlineLevel="0" collapsed="false">
      <c r="A71" s="17" t="s">
        <v>8</v>
      </c>
      <c r="B71" s="95" t="s">
        <v>82</v>
      </c>
      <c r="C71" s="95"/>
      <c r="D71" s="95"/>
      <c r="E71" s="95"/>
      <c r="F71" s="95"/>
      <c r="G71" s="95"/>
      <c r="H71" s="95"/>
      <c r="I71" s="220" t="n">
        <f aca="false">ROUND(I40/12,2)</f>
        <v>189.55</v>
      </c>
      <c r="K71" s="212"/>
    </row>
    <row r="72" customFormat="false" ht="17.25" hidden="false" customHeight="true" outlineLevel="0" collapsed="false">
      <c r="A72" s="97" t="s">
        <v>83</v>
      </c>
      <c r="B72" s="97"/>
      <c r="C72" s="97"/>
      <c r="D72" s="97"/>
      <c r="E72" s="97"/>
      <c r="F72" s="97"/>
      <c r="G72" s="97"/>
      <c r="H72" s="97"/>
      <c r="I72" s="207" t="n">
        <f aca="false">SUM(I71:I71)</f>
        <v>189.55</v>
      </c>
      <c r="K72" s="212"/>
    </row>
    <row r="73" customFormat="false" ht="16.5" hidden="false" customHeight="true" outlineLevel="0" collapsed="false">
      <c r="A73" s="17" t="s">
        <v>10</v>
      </c>
      <c r="B73" s="83" t="s">
        <v>84</v>
      </c>
      <c r="C73" s="83"/>
      <c r="D73" s="83"/>
      <c r="E73" s="83"/>
      <c r="F73" s="83"/>
      <c r="G73" s="83"/>
      <c r="H73" s="83"/>
      <c r="I73" s="207" t="n">
        <f aca="false">ROUND(I72*H66,2)</f>
        <v>66.91</v>
      </c>
      <c r="K73" s="212"/>
    </row>
    <row r="74" customFormat="false" ht="15.75" hidden="false" customHeight="false" outlineLevel="0" collapsed="false">
      <c r="A74" s="60" t="s">
        <v>76</v>
      </c>
      <c r="B74" s="60"/>
      <c r="C74" s="60"/>
      <c r="D74" s="60"/>
      <c r="E74" s="60"/>
      <c r="F74" s="60"/>
      <c r="G74" s="60"/>
      <c r="H74" s="60"/>
      <c r="I74" s="210" t="n">
        <f aca="false">SUM(I72:I73)</f>
        <v>256.46</v>
      </c>
      <c r="K74" s="212"/>
    </row>
    <row r="75" customFormat="false" ht="19.5" hidden="false" customHeight="true" outlineLevel="0" collapsed="false">
      <c r="A75" s="79" t="s">
        <v>85</v>
      </c>
      <c r="B75" s="79"/>
      <c r="C75" s="79"/>
      <c r="D75" s="79"/>
      <c r="E75" s="79"/>
      <c r="F75" s="79"/>
      <c r="G75" s="79"/>
      <c r="H75" s="79"/>
      <c r="I75" s="79"/>
    </row>
    <row r="76" customFormat="false" ht="15.75" hidden="false" customHeight="false" outlineLevel="0" collapsed="false">
      <c r="A76" s="62" t="s">
        <v>86</v>
      </c>
      <c r="B76" s="81" t="s">
        <v>87</v>
      </c>
      <c r="C76" s="81"/>
      <c r="D76" s="81"/>
      <c r="E76" s="81"/>
      <c r="F76" s="81"/>
      <c r="G76" s="81"/>
      <c r="H76" s="81"/>
      <c r="I76" s="204" t="s">
        <v>35</v>
      </c>
    </row>
    <row r="77" customFormat="false" ht="15.75" hidden="false" customHeight="false" outlineLevel="0" collapsed="false">
      <c r="A77" s="17" t="s">
        <v>8</v>
      </c>
      <c r="B77" s="52" t="s">
        <v>88</v>
      </c>
      <c r="C77" s="52"/>
      <c r="D77" s="52"/>
      <c r="E77" s="52"/>
      <c r="F77" s="52"/>
      <c r="G77" s="52"/>
      <c r="H77" s="52"/>
      <c r="I77" s="75" t="n">
        <f aca="false">ROUND(((I40+I40/3)*(4/12)/12)*0.02,2)</f>
        <v>1.68</v>
      </c>
    </row>
    <row r="78" customFormat="false" ht="15.75" hidden="false" customHeight="false" outlineLevel="0" collapsed="false">
      <c r="A78" s="17" t="s">
        <v>10</v>
      </c>
      <c r="B78" s="83" t="s">
        <v>89</v>
      </c>
      <c r="C78" s="83"/>
      <c r="D78" s="83"/>
      <c r="E78" s="83"/>
      <c r="F78" s="83"/>
      <c r="G78" s="83"/>
      <c r="H78" s="83"/>
      <c r="I78" s="75" t="n">
        <f aca="false">I77*H66</f>
        <v>0.59304</v>
      </c>
    </row>
    <row r="79" customFormat="false" ht="15.75" hidden="false" customHeight="false" outlineLevel="0" collapsed="false">
      <c r="A79" s="60" t="s">
        <v>76</v>
      </c>
      <c r="B79" s="60"/>
      <c r="C79" s="60"/>
      <c r="D79" s="60"/>
      <c r="E79" s="60"/>
      <c r="F79" s="60"/>
      <c r="G79" s="60"/>
      <c r="H79" s="60"/>
      <c r="I79" s="210" t="n">
        <f aca="false">SUM(I77:I78)</f>
        <v>2.27304</v>
      </c>
    </row>
    <row r="80" customFormat="false" ht="19.5" hidden="false" customHeight="true" outlineLevel="0" collapsed="false">
      <c r="A80" s="79" t="s">
        <v>90</v>
      </c>
      <c r="B80" s="79"/>
      <c r="C80" s="79"/>
      <c r="D80" s="79"/>
      <c r="E80" s="79"/>
      <c r="F80" s="79"/>
      <c r="G80" s="79"/>
      <c r="H80" s="79"/>
      <c r="I80" s="79"/>
    </row>
    <row r="81" customFormat="false" ht="15.75" hidden="false" customHeight="false" outlineLevel="0" collapsed="false">
      <c r="A81" s="62" t="s">
        <v>91</v>
      </c>
      <c r="B81" s="81" t="s">
        <v>92</v>
      </c>
      <c r="C81" s="81"/>
      <c r="D81" s="81"/>
      <c r="E81" s="81"/>
      <c r="F81" s="81"/>
      <c r="G81" s="81"/>
      <c r="H81" s="81"/>
      <c r="I81" s="204" t="s">
        <v>35</v>
      </c>
    </row>
    <row r="82" customFormat="false" ht="25.5" hidden="false" customHeight="true" outlineLevel="0" collapsed="false">
      <c r="A82" s="17" t="s">
        <v>8</v>
      </c>
      <c r="B82" s="221" t="s">
        <v>197</v>
      </c>
      <c r="C82" s="221"/>
      <c r="D82" s="221"/>
      <c r="E82" s="221"/>
      <c r="F82" s="221"/>
      <c r="G82" s="221"/>
      <c r="H82" s="221"/>
      <c r="I82" s="207" t="n">
        <f aca="false">ROUND((I40/12)*(33/30)*0.05,2)</f>
        <v>10.43</v>
      </c>
    </row>
    <row r="83" customFormat="false" ht="15.75" hidden="false" customHeight="true" outlineLevel="0" collapsed="false">
      <c r="A83" s="17" t="s">
        <v>10</v>
      </c>
      <c r="B83" s="83" t="s">
        <v>94</v>
      </c>
      <c r="C83" s="83"/>
      <c r="D83" s="83"/>
      <c r="E83" s="83"/>
      <c r="F83" s="83"/>
      <c r="G83" s="83"/>
      <c r="H83" s="83"/>
      <c r="I83" s="207" t="n">
        <f aca="false">ROUND(I82*H63,2)</f>
        <v>0.83</v>
      </c>
    </row>
    <row r="84" customFormat="false" ht="49.5" hidden="false" customHeight="true" outlineLevel="0" collapsed="false">
      <c r="A84" s="17" t="s">
        <v>12</v>
      </c>
      <c r="B84" s="95" t="s">
        <v>95</v>
      </c>
      <c r="C84" s="95"/>
      <c r="D84" s="95"/>
      <c r="E84" s="95"/>
      <c r="F84" s="95"/>
      <c r="G84" s="95"/>
      <c r="H84" s="95"/>
      <c r="I84" s="220" t="n">
        <f aca="false">ROUND(0.0024*I40,2)</f>
        <v>5.46</v>
      </c>
      <c r="K84" s="212"/>
    </row>
    <row r="85" customFormat="false" ht="30.75" hidden="false" customHeight="true" outlineLevel="0" collapsed="false">
      <c r="A85" s="100" t="s">
        <v>14</v>
      </c>
      <c r="B85" s="99" t="s">
        <v>96</v>
      </c>
      <c r="C85" s="99"/>
      <c r="D85" s="99"/>
      <c r="E85" s="99"/>
      <c r="F85" s="99"/>
      <c r="G85" s="99"/>
      <c r="H85" s="99"/>
      <c r="I85" s="207" t="n">
        <v>0</v>
      </c>
    </row>
    <row r="86" customFormat="false" ht="18" hidden="false" customHeight="true" outlineLevel="0" collapsed="false">
      <c r="A86" s="17" t="s">
        <v>40</v>
      </c>
      <c r="B86" s="83" t="s">
        <v>97</v>
      </c>
      <c r="C86" s="83"/>
      <c r="D86" s="83"/>
      <c r="E86" s="83"/>
      <c r="F86" s="83"/>
      <c r="G86" s="83"/>
      <c r="H86" s="83"/>
      <c r="I86" s="207" t="n">
        <f aca="false">ROUND(I85*H66,2)</f>
        <v>0</v>
      </c>
      <c r="J86" s="101"/>
      <c r="K86" s="101"/>
      <c r="L86" s="222"/>
    </row>
    <row r="87" customFormat="false" ht="48.75" hidden="false" customHeight="true" outlineLevel="0" collapsed="false">
      <c r="A87" s="17" t="s">
        <v>42</v>
      </c>
      <c r="B87" s="95" t="s">
        <v>98</v>
      </c>
      <c r="C87" s="95"/>
      <c r="D87" s="95"/>
      <c r="E87" s="95"/>
      <c r="F87" s="95"/>
      <c r="G87" s="95"/>
      <c r="H87" s="95"/>
      <c r="I87" s="220" t="n">
        <f aca="false">ROUND(0.0476*I40,2)</f>
        <v>108.27</v>
      </c>
      <c r="J87" s="101"/>
      <c r="K87" s="212"/>
      <c r="L87" s="101"/>
    </row>
    <row r="88" customFormat="false" ht="20.25" hidden="false" customHeight="true" outlineLevel="0" collapsed="false">
      <c r="A88" s="60" t="s">
        <v>76</v>
      </c>
      <c r="B88" s="60"/>
      <c r="C88" s="60"/>
      <c r="D88" s="60"/>
      <c r="E88" s="60"/>
      <c r="F88" s="60"/>
      <c r="G88" s="60"/>
      <c r="H88" s="60"/>
      <c r="I88" s="210" t="n">
        <f aca="false">SUM(I82:I87)</f>
        <v>124.99</v>
      </c>
    </row>
    <row r="89" customFormat="false" ht="20.25" hidden="false" customHeight="true" outlineLevel="0" collapsed="false">
      <c r="A89" s="79" t="s">
        <v>99</v>
      </c>
      <c r="B89" s="79"/>
      <c r="C89" s="79"/>
      <c r="D89" s="79"/>
      <c r="E89" s="79"/>
      <c r="F89" s="79"/>
      <c r="G89" s="79"/>
      <c r="H89" s="79"/>
      <c r="I89" s="79"/>
    </row>
    <row r="90" customFormat="false" ht="15.75" hidden="false" customHeight="false" outlineLevel="0" collapsed="false">
      <c r="A90" s="62" t="s">
        <v>100</v>
      </c>
      <c r="B90" s="81" t="s">
        <v>101</v>
      </c>
      <c r="C90" s="81"/>
      <c r="D90" s="81"/>
      <c r="E90" s="81"/>
      <c r="F90" s="81"/>
      <c r="G90" s="81"/>
      <c r="H90" s="81"/>
      <c r="I90" s="204" t="s">
        <v>35</v>
      </c>
    </row>
    <row r="91" customFormat="false" ht="49.5" hidden="false" customHeight="true" outlineLevel="0" collapsed="false">
      <c r="A91" s="17" t="s">
        <v>8</v>
      </c>
      <c r="B91" s="95" t="s">
        <v>102</v>
      </c>
      <c r="C91" s="95"/>
      <c r="D91" s="95"/>
      <c r="E91" s="95"/>
      <c r="F91" s="95"/>
      <c r="G91" s="95"/>
      <c r="H91" s="95"/>
      <c r="I91" s="220" t="n">
        <f aca="false">ROUND(0.121*I40,2)</f>
        <v>275.22</v>
      </c>
      <c r="K91" s="212"/>
    </row>
    <row r="92" customFormat="false" ht="17.25" hidden="false" customHeight="true" outlineLevel="0" collapsed="false">
      <c r="A92" s="17" t="s">
        <v>10</v>
      </c>
      <c r="B92" s="52" t="s">
        <v>103</v>
      </c>
      <c r="C92" s="52"/>
      <c r="D92" s="52"/>
      <c r="E92" s="52"/>
      <c r="F92" s="52"/>
      <c r="G92" s="52"/>
      <c r="H92" s="52"/>
      <c r="I92" s="207" t="n">
        <f aca="false">ROUND(((I40/30)*5)/12,2)</f>
        <v>31.59</v>
      </c>
    </row>
    <row r="93" customFormat="false" ht="16.5" hidden="false" customHeight="true" outlineLevel="0" collapsed="false">
      <c r="A93" s="17" t="s">
        <v>12</v>
      </c>
      <c r="B93" s="52" t="s">
        <v>104</v>
      </c>
      <c r="C93" s="52"/>
      <c r="D93" s="52"/>
      <c r="E93" s="52"/>
      <c r="F93" s="52"/>
      <c r="G93" s="52"/>
      <c r="H93" s="52"/>
      <c r="I93" s="207" t="n">
        <f aca="false">ROUND((((I40/30)*5)/12)*0.015,2)</f>
        <v>0.47</v>
      </c>
    </row>
    <row r="94" customFormat="false" ht="17.25" hidden="false" customHeight="true" outlineLevel="0" collapsed="false">
      <c r="A94" s="17" t="s">
        <v>14</v>
      </c>
      <c r="B94" s="52" t="s">
        <v>105</v>
      </c>
      <c r="C94" s="52"/>
      <c r="D94" s="52"/>
      <c r="E94" s="52"/>
      <c r="F94" s="52"/>
      <c r="G94" s="52"/>
      <c r="H94" s="52"/>
      <c r="I94" s="207" t="n">
        <f aca="false">ROUND(((I40/30)*2.96)/12,2)</f>
        <v>18.7</v>
      </c>
    </row>
    <row r="95" customFormat="false" ht="16.5" hidden="false" customHeight="true" outlineLevel="0" collapsed="false">
      <c r="A95" s="17" t="s">
        <v>40</v>
      </c>
      <c r="B95" s="52" t="s">
        <v>106</v>
      </c>
      <c r="C95" s="52"/>
      <c r="D95" s="52"/>
      <c r="E95" s="52"/>
      <c r="F95" s="52"/>
      <c r="G95" s="52"/>
      <c r="H95" s="52"/>
      <c r="I95" s="207" t="n">
        <f aca="false">ROUND((((I40/30)*15)/12)*0.0078,2)</f>
        <v>0.74</v>
      </c>
    </row>
    <row r="96" customFormat="false" ht="15.75" hidden="false" customHeight="false" outlineLevel="0" collapsed="false">
      <c r="A96" s="97" t="s">
        <v>83</v>
      </c>
      <c r="B96" s="97"/>
      <c r="C96" s="97"/>
      <c r="D96" s="97"/>
      <c r="E96" s="97"/>
      <c r="F96" s="97"/>
      <c r="G96" s="97"/>
      <c r="H96" s="97"/>
      <c r="I96" s="223" t="n">
        <f aca="false">SUM(I91:I95)</f>
        <v>326.72</v>
      </c>
      <c r="K96" s="212"/>
    </row>
    <row r="97" customFormat="false" ht="18" hidden="false" customHeight="true" outlineLevel="0" collapsed="false">
      <c r="A97" s="17" t="s">
        <v>70</v>
      </c>
      <c r="B97" s="83" t="s">
        <v>107</v>
      </c>
      <c r="C97" s="83"/>
      <c r="D97" s="83"/>
      <c r="E97" s="83"/>
      <c r="F97" s="83"/>
      <c r="G97" s="83"/>
      <c r="H97" s="83"/>
      <c r="I97" s="224" t="n">
        <f aca="false">ROUND(I96*H66,2)</f>
        <v>115.33</v>
      </c>
      <c r="K97" s="212"/>
    </row>
    <row r="98" customFormat="false" ht="18.75" hidden="false" customHeight="true" outlineLevel="0" collapsed="false">
      <c r="A98" s="60" t="s">
        <v>76</v>
      </c>
      <c r="B98" s="60"/>
      <c r="C98" s="60"/>
      <c r="D98" s="60"/>
      <c r="E98" s="60"/>
      <c r="F98" s="60"/>
      <c r="G98" s="60"/>
      <c r="H98" s="60"/>
      <c r="I98" s="210" t="n">
        <f aca="false">SUM(I96+I97)</f>
        <v>442.05</v>
      </c>
      <c r="K98" s="212"/>
    </row>
    <row r="99" customFormat="false" ht="18.75" hidden="false" customHeight="true" outlineLevel="0" collapsed="false">
      <c r="A99" s="104" t="s">
        <v>108</v>
      </c>
      <c r="B99" s="104"/>
      <c r="C99" s="104"/>
      <c r="D99" s="104"/>
      <c r="E99" s="104"/>
      <c r="F99" s="104"/>
      <c r="G99" s="104"/>
      <c r="H99" s="104"/>
      <c r="I99" s="104"/>
    </row>
    <row r="100" customFormat="false" ht="15.75" hidden="false" customHeight="false" outlineLevel="0" collapsed="false">
      <c r="A100" s="62" t="n">
        <v>4</v>
      </c>
      <c r="B100" s="81" t="s">
        <v>109</v>
      </c>
      <c r="C100" s="81"/>
      <c r="D100" s="81"/>
      <c r="E100" s="81"/>
      <c r="F100" s="81"/>
      <c r="G100" s="81"/>
      <c r="H100" s="81"/>
      <c r="I100" s="204" t="s">
        <v>35</v>
      </c>
    </row>
    <row r="101" customFormat="false" ht="15.75" hidden="false" customHeight="false" outlineLevel="0" collapsed="false">
      <c r="A101" s="17" t="s">
        <v>61</v>
      </c>
      <c r="B101" s="83" t="s">
        <v>62</v>
      </c>
      <c r="C101" s="83"/>
      <c r="D101" s="83"/>
      <c r="E101" s="83"/>
      <c r="F101" s="83"/>
      <c r="G101" s="83"/>
      <c r="H101" s="83"/>
      <c r="I101" s="75" t="n">
        <f aca="false">I66</f>
        <v>762.07</v>
      </c>
    </row>
    <row r="102" customFormat="false" ht="15.75" hidden="false" customHeight="false" outlineLevel="0" collapsed="false">
      <c r="A102" s="17" t="s">
        <v>80</v>
      </c>
      <c r="B102" s="83" t="s">
        <v>110</v>
      </c>
      <c r="C102" s="83"/>
      <c r="D102" s="83"/>
      <c r="E102" s="83"/>
      <c r="F102" s="83"/>
      <c r="G102" s="83"/>
      <c r="H102" s="83"/>
      <c r="I102" s="75" t="n">
        <f aca="false">I74</f>
        <v>256.46</v>
      </c>
    </row>
    <row r="103" customFormat="false" ht="15.75" hidden="false" customHeight="false" outlineLevel="0" collapsed="false">
      <c r="A103" s="17" t="s">
        <v>86</v>
      </c>
      <c r="B103" s="83" t="s">
        <v>87</v>
      </c>
      <c r="C103" s="83"/>
      <c r="D103" s="83"/>
      <c r="E103" s="83"/>
      <c r="F103" s="83"/>
      <c r="G103" s="83"/>
      <c r="H103" s="83"/>
      <c r="I103" s="75" t="n">
        <f aca="false">I79</f>
        <v>2.27304</v>
      </c>
    </row>
    <row r="104" customFormat="false" ht="15.75" hidden="false" customHeight="false" outlineLevel="0" collapsed="false">
      <c r="A104" s="17" t="s">
        <v>91</v>
      </c>
      <c r="B104" s="83" t="s">
        <v>111</v>
      </c>
      <c r="C104" s="83"/>
      <c r="D104" s="83"/>
      <c r="E104" s="83"/>
      <c r="F104" s="83"/>
      <c r="G104" s="83"/>
      <c r="H104" s="83"/>
      <c r="I104" s="75" t="n">
        <f aca="false">I88</f>
        <v>124.99</v>
      </c>
    </row>
    <row r="105" customFormat="false" ht="15.75" hidden="false" customHeight="false" outlineLevel="0" collapsed="false">
      <c r="A105" s="17" t="s">
        <v>100</v>
      </c>
      <c r="B105" s="83" t="s">
        <v>112</v>
      </c>
      <c r="C105" s="83"/>
      <c r="D105" s="83"/>
      <c r="E105" s="83"/>
      <c r="F105" s="83"/>
      <c r="G105" s="83"/>
      <c r="H105" s="83"/>
      <c r="I105" s="75" t="n">
        <f aca="false">I98</f>
        <v>442.05</v>
      </c>
    </row>
    <row r="106" customFormat="false" ht="20.25" hidden="false" customHeight="true" outlineLevel="0" collapsed="false">
      <c r="A106" s="60" t="s">
        <v>76</v>
      </c>
      <c r="B106" s="60"/>
      <c r="C106" s="60"/>
      <c r="D106" s="60"/>
      <c r="E106" s="60"/>
      <c r="F106" s="60"/>
      <c r="G106" s="60"/>
      <c r="H106" s="60"/>
      <c r="I106" s="210" t="n">
        <f aca="false">SUM(I101:I105)</f>
        <v>1587.84304</v>
      </c>
      <c r="K106" s="225"/>
    </row>
    <row r="107" customFormat="false" ht="32.25" hidden="false" customHeight="true" outlineLevel="0" collapsed="false">
      <c r="A107" s="107" t="s">
        <v>113</v>
      </c>
      <c r="B107" s="107"/>
      <c r="C107" s="107"/>
      <c r="D107" s="107"/>
      <c r="E107" s="107"/>
      <c r="F107" s="107"/>
      <c r="G107" s="107"/>
      <c r="H107" s="107"/>
      <c r="I107" s="107"/>
    </row>
    <row r="108" customFormat="false" ht="15.75" hidden="false" customHeight="false" outlineLevel="0" collapsed="false">
      <c r="A108" s="62" t="n">
        <v>5</v>
      </c>
      <c r="B108" s="63" t="s">
        <v>114</v>
      </c>
      <c r="C108" s="63"/>
      <c r="D108" s="63"/>
      <c r="E108" s="63"/>
      <c r="F108" s="63"/>
      <c r="G108" s="63"/>
      <c r="H108" s="108" t="s">
        <v>63</v>
      </c>
      <c r="I108" s="204" t="s">
        <v>35</v>
      </c>
    </row>
    <row r="109" customFormat="false" ht="45.75" hidden="false" customHeight="true" outlineLevel="0" collapsed="false">
      <c r="A109" s="109" t="s">
        <v>115</v>
      </c>
      <c r="B109" s="109"/>
      <c r="C109" s="109"/>
      <c r="D109" s="109"/>
      <c r="E109" s="109"/>
      <c r="F109" s="109"/>
      <c r="G109" s="109"/>
      <c r="H109" s="110" t="n">
        <v>0</v>
      </c>
      <c r="I109" s="226" t="n">
        <f aca="false">(I40+I49+I54+I106)</f>
        <v>4570.44729</v>
      </c>
    </row>
    <row r="110" customFormat="false" ht="15.75" hidden="false" customHeight="false" outlineLevel="0" collapsed="false">
      <c r="A110" s="17" t="s">
        <v>8</v>
      </c>
      <c r="B110" s="83" t="s">
        <v>116</v>
      </c>
      <c r="C110" s="83"/>
      <c r="D110" s="83"/>
      <c r="E110" s="83"/>
      <c r="F110" s="83"/>
      <c r="G110" s="83"/>
      <c r="H110" s="112" t="n">
        <v>0.1207</v>
      </c>
      <c r="I110" s="207" t="n">
        <f aca="false">ROUND(I109*H110,2)</f>
        <v>551.65</v>
      </c>
      <c r="J110" s="227"/>
    </row>
    <row r="111" customFormat="false" ht="47.25" hidden="false" customHeight="true" outlineLevel="0" collapsed="false">
      <c r="A111" s="109" t="s">
        <v>117</v>
      </c>
      <c r="B111" s="109"/>
      <c r="C111" s="109"/>
      <c r="D111" s="109"/>
      <c r="E111" s="109"/>
      <c r="F111" s="109"/>
      <c r="G111" s="109"/>
      <c r="H111" s="114" t="n">
        <v>0</v>
      </c>
      <c r="I111" s="228" t="n">
        <f aca="false">I109+I110</f>
        <v>5122.09729</v>
      </c>
      <c r="J111" s="227"/>
    </row>
    <row r="112" customFormat="false" ht="15.75" hidden="false" customHeight="false" outlineLevel="0" collapsed="false">
      <c r="A112" s="17" t="s">
        <v>10</v>
      </c>
      <c r="B112" s="83" t="s">
        <v>118</v>
      </c>
      <c r="C112" s="83"/>
      <c r="D112" s="83"/>
      <c r="E112" s="83"/>
      <c r="F112" s="83"/>
      <c r="G112" s="83"/>
      <c r="H112" s="112" t="n">
        <v>0.0818</v>
      </c>
      <c r="I112" s="207" t="n">
        <f aca="false">ROUND(I111*H112,2)</f>
        <v>418.99</v>
      </c>
      <c r="J112" s="229"/>
      <c r="M112" s="230"/>
    </row>
    <row r="113" customFormat="false" ht="47.25" hidden="false" customHeight="true" outlineLevel="0" collapsed="false">
      <c r="A113" s="109" t="s">
        <v>119</v>
      </c>
      <c r="B113" s="109"/>
      <c r="C113" s="109"/>
      <c r="D113" s="109"/>
      <c r="E113" s="109"/>
      <c r="F113" s="109"/>
      <c r="G113" s="109"/>
      <c r="H113" s="117" t="n">
        <v>0</v>
      </c>
      <c r="I113" s="231" t="n">
        <f aca="false">I111+I112</f>
        <v>5541.08729</v>
      </c>
      <c r="J113" s="229"/>
    </row>
    <row r="114" customFormat="false" ht="15.75" hidden="false" customHeight="false" outlineLevel="0" collapsed="false">
      <c r="A114" s="17" t="s">
        <v>12</v>
      </c>
      <c r="B114" s="83" t="s">
        <v>120</v>
      </c>
      <c r="C114" s="83"/>
      <c r="D114" s="83"/>
      <c r="E114" s="83"/>
      <c r="F114" s="83"/>
      <c r="G114" s="83"/>
      <c r="H114" s="119" t="s">
        <v>198</v>
      </c>
      <c r="I114" s="232" t="s">
        <v>198</v>
      </c>
      <c r="J114" s="229"/>
      <c r="M114" s="230" t="n">
        <f aca="false">3679499.99-Resumo!K49</f>
        <v>-229246.195599999</v>
      </c>
    </row>
    <row r="115" customFormat="false" ht="15.75" hidden="false" customHeight="false" outlineLevel="0" collapsed="false">
      <c r="A115" s="17"/>
      <c r="B115" s="83" t="s">
        <v>121</v>
      </c>
      <c r="C115" s="83"/>
      <c r="D115" s="83"/>
      <c r="E115" s="83"/>
      <c r="F115" s="83"/>
      <c r="G115" s="83"/>
      <c r="H115" s="119" t="s">
        <v>198</v>
      </c>
      <c r="I115" s="232" t="s">
        <v>198</v>
      </c>
      <c r="M115" s="230"/>
    </row>
    <row r="116" customFormat="false" ht="30" hidden="false" customHeight="true" outlineLevel="0" collapsed="false">
      <c r="A116" s="17"/>
      <c r="B116" s="67" t="s">
        <v>199</v>
      </c>
      <c r="C116" s="67"/>
      <c r="D116" s="67"/>
      <c r="E116" s="67"/>
      <c r="F116" s="67"/>
      <c r="G116" s="67"/>
      <c r="H116" s="121" t="n">
        <v>0.03</v>
      </c>
      <c r="I116" s="207" t="n">
        <f aca="false">ROUND(($I$113/(1-H123))*H116,2)</f>
        <v>178.07</v>
      </c>
    </row>
    <row r="117" customFormat="false" ht="27" hidden="false" customHeight="true" outlineLevel="0" collapsed="false">
      <c r="A117" s="17"/>
      <c r="B117" s="67" t="s">
        <v>200</v>
      </c>
      <c r="C117" s="67"/>
      <c r="D117" s="67"/>
      <c r="E117" s="67"/>
      <c r="F117" s="67"/>
      <c r="G117" s="67"/>
      <c r="H117" s="121" t="n">
        <v>0.0065</v>
      </c>
      <c r="I117" s="207" t="n">
        <f aca="false">ROUND(($I$113/(1-H123))*H117,2)</f>
        <v>38.58</v>
      </c>
      <c r="K117" s="212"/>
      <c r="M117" s="230"/>
    </row>
    <row r="118" customFormat="false" ht="30" hidden="false" customHeight="true" outlineLevel="0" collapsed="false">
      <c r="A118" s="17"/>
      <c r="B118" s="122" t="s">
        <v>124</v>
      </c>
      <c r="C118" s="122"/>
      <c r="D118" s="122"/>
      <c r="E118" s="122"/>
      <c r="F118" s="122"/>
      <c r="G118" s="122"/>
      <c r="H118" s="121" t="s">
        <v>198</v>
      </c>
      <c r="I118" s="232" t="s">
        <v>198</v>
      </c>
      <c r="K118" s="212"/>
    </row>
    <row r="119" customFormat="false" ht="16.5" hidden="false" customHeight="true" outlineLevel="0" collapsed="false">
      <c r="A119" s="17"/>
      <c r="B119" s="83" t="s">
        <v>125</v>
      </c>
      <c r="C119" s="83"/>
      <c r="D119" s="83"/>
      <c r="E119" s="83"/>
      <c r="F119" s="83"/>
      <c r="G119" s="83"/>
      <c r="H119" s="119" t="s">
        <v>198</v>
      </c>
      <c r="I119" s="232" t="s">
        <v>198</v>
      </c>
      <c r="M119" s="233"/>
    </row>
    <row r="120" customFormat="false" ht="15.75" hidden="false" customHeight="false" outlineLevel="0" collapsed="false">
      <c r="A120" s="17"/>
      <c r="B120" s="83" t="s">
        <v>126</v>
      </c>
      <c r="C120" s="83"/>
      <c r="D120" s="83"/>
      <c r="E120" s="83"/>
      <c r="F120" s="83"/>
      <c r="G120" s="83"/>
      <c r="H120" s="119" t="s">
        <v>198</v>
      </c>
      <c r="I120" s="232" t="s">
        <v>198</v>
      </c>
      <c r="K120" s="212"/>
    </row>
    <row r="121" customFormat="false" ht="15.75" hidden="false" customHeight="false" outlineLevel="0" collapsed="false">
      <c r="A121" s="17"/>
      <c r="B121" s="74" t="s">
        <v>201</v>
      </c>
      <c r="C121" s="74"/>
      <c r="D121" s="74"/>
      <c r="E121" s="74"/>
      <c r="F121" s="74"/>
      <c r="G121" s="74"/>
      <c r="H121" s="124" t="n">
        <v>0.03</v>
      </c>
      <c r="I121" s="207" t="n">
        <f aca="false">ROUND(($I$113/(1-H123))*H121,2)</f>
        <v>178.07</v>
      </c>
    </row>
    <row r="122" customFormat="false" ht="18" hidden="false" customHeight="true" outlineLevel="0" collapsed="false">
      <c r="A122" s="125" t="s">
        <v>76</v>
      </c>
      <c r="B122" s="125"/>
      <c r="C122" s="125"/>
      <c r="D122" s="125"/>
      <c r="E122" s="125"/>
      <c r="F122" s="125"/>
      <c r="G122" s="125"/>
      <c r="H122" s="125"/>
      <c r="I122" s="234" t="n">
        <f aca="false">I110+I112+I116+I117+I121</f>
        <v>1365.36</v>
      </c>
    </row>
    <row r="123" customFormat="false" ht="15.75" hidden="false" customHeight="false" outlineLevel="0" collapsed="false">
      <c r="A123" s="127" t="s">
        <v>128</v>
      </c>
      <c r="B123" s="127"/>
      <c r="C123" s="127"/>
      <c r="D123" s="127"/>
      <c r="E123" s="127"/>
      <c r="F123" s="127"/>
      <c r="G123" s="127"/>
      <c r="H123" s="128" t="n">
        <f aca="false">SUM(H116:H121)</f>
        <v>0.0665</v>
      </c>
      <c r="I123" s="235" t="n">
        <f aca="false">SUM(I116+I117+I121)</f>
        <v>394.72</v>
      </c>
    </row>
    <row r="124" customFormat="false" ht="23.25" hidden="false" customHeight="true" outlineLevel="0" collapsed="false">
      <c r="A124" s="236" t="s">
        <v>129</v>
      </c>
      <c r="B124" s="236"/>
      <c r="C124" s="237" t="s">
        <v>130</v>
      </c>
      <c r="D124" s="237"/>
      <c r="E124" s="237"/>
      <c r="F124" s="237"/>
      <c r="G124" s="237"/>
      <c r="H124" s="237"/>
      <c r="I124" s="237"/>
    </row>
    <row r="125" customFormat="false" ht="22.5" hidden="false" customHeight="true" outlineLevel="0" collapsed="false">
      <c r="A125" s="236"/>
      <c r="B125" s="236"/>
      <c r="C125" s="238" t="s">
        <v>131</v>
      </c>
      <c r="D125" s="238"/>
      <c r="E125" s="238"/>
      <c r="F125" s="238"/>
      <c r="G125" s="238"/>
      <c r="H125" s="238"/>
      <c r="I125" s="238"/>
    </row>
    <row r="126" customFormat="false" ht="15.75" hidden="false" customHeight="false" outlineLevel="0" collapsed="false">
      <c r="A126" s="133" t="s">
        <v>132</v>
      </c>
      <c r="B126" s="133"/>
      <c r="C126" s="133"/>
      <c r="D126" s="133"/>
      <c r="E126" s="133"/>
      <c r="F126" s="133"/>
      <c r="G126" s="133"/>
      <c r="H126" s="133"/>
      <c r="I126" s="133"/>
    </row>
    <row r="127" customFormat="false" ht="15.75" hidden="false" customHeight="false" outlineLevel="0" collapsed="false">
      <c r="A127" s="94" t="s">
        <v>133</v>
      </c>
      <c r="B127" s="94"/>
      <c r="C127" s="94"/>
      <c r="D127" s="94"/>
      <c r="E127" s="94"/>
      <c r="F127" s="94"/>
      <c r="G127" s="94"/>
      <c r="H127" s="94"/>
      <c r="I127" s="94"/>
    </row>
    <row r="128" customFormat="false" ht="15" hidden="false" customHeight="true" outlineLevel="0" collapsed="false">
      <c r="A128" s="239"/>
      <c r="B128" s="239"/>
      <c r="C128" s="239"/>
      <c r="D128" s="239"/>
      <c r="E128" s="239"/>
      <c r="F128" s="239"/>
      <c r="G128" s="239"/>
      <c r="H128" s="239"/>
      <c r="I128" s="239"/>
    </row>
    <row r="129" customFormat="false" ht="15.75" hidden="false" customHeight="false" outlineLevel="0" collapsed="false">
      <c r="A129" s="195" t="s">
        <v>134</v>
      </c>
      <c r="B129" s="195"/>
      <c r="C129" s="195"/>
      <c r="D129" s="195"/>
      <c r="E129" s="195"/>
      <c r="F129" s="195"/>
      <c r="G129" s="195"/>
      <c r="H129" s="195"/>
      <c r="I129" s="195"/>
    </row>
    <row r="130" customFormat="false" ht="15.75" hidden="false" customHeight="false" outlineLevel="0" collapsed="false">
      <c r="A130" s="240" t="s">
        <v>135</v>
      </c>
      <c r="B130" s="240"/>
      <c r="C130" s="240"/>
      <c r="D130" s="240"/>
      <c r="E130" s="240"/>
      <c r="F130" s="240"/>
      <c r="G130" s="240"/>
      <c r="H130" s="240"/>
      <c r="I130" s="240"/>
    </row>
    <row r="131" customFormat="false" ht="15.75" hidden="false" customHeight="false" outlineLevel="0" collapsed="false">
      <c r="A131" s="241" t="s">
        <v>136</v>
      </c>
      <c r="B131" s="241"/>
      <c r="C131" s="241"/>
      <c r="D131" s="241"/>
      <c r="E131" s="241"/>
      <c r="F131" s="241"/>
      <c r="G131" s="241"/>
      <c r="H131" s="241"/>
      <c r="I131" s="204" t="s">
        <v>35</v>
      </c>
    </row>
    <row r="132" customFormat="false" ht="15.75" hidden="false" customHeight="false" outlineLevel="0" collapsed="false">
      <c r="A132" s="17" t="s">
        <v>8</v>
      </c>
      <c r="B132" s="83" t="s">
        <v>137</v>
      </c>
      <c r="C132" s="83"/>
      <c r="D132" s="83"/>
      <c r="E132" s="83"/>
      <c r="F132" s="83"/>
      <c r="G132" s="83"/>
      <c r="H132" s="83"/>
      <c r="I132" s="75" t="n">
        <f aca="false">I40</f>
        <v>2274.558</v>
      </c>
    </row>
    <row r="133" customFormat="false" ht="15.75" hidden="false" customHeight="false" outlineLevel="0" collapsed="false">
      <c r="A133" s="17" t="s">
        <v>10</v>
      </c>
      <c r="B133" s="83" t="s">
        <v>138</v>
      </c>
      <c r="C133" s="83"/>
      <c r="D133" s="83"/>
      <c r="E133" s="83"/>
      <c r="F133" s="83"/>
      <c r="G133" s="83"/>
      <c r="H133" s="83"/>
      <c r="I133" s="75" t="n">
        <f aca="false">I49</f>
        <v>570.37</v>
      </c>
    </row>
    <row r="134" customFormat="false" ht="15.75" hidden="false" customHeight="false" outlineLevel="0" collapsed="false">
      <c r="A134" s="17" t="s">
        <v>12</v>
      </c>
      <c r="B134" s="83" t="s">
        <v>139</v>
      </c>
      <c r="C134" s="83"/>
      <c r="D134" s="83"/>
      <c r="E134" s="83"/>
      <c r="F134" s="83"/>
      <c r="G134" s="83"/>
      <c r="H134" s="83"/>
      <c r="I134" s="207" t="n">
        <f aca="false">I54</f>
        <v>137.67625</v>
      </c>
    </row>
    <row r="135" customFormat="false" ht="15.75" hidden="false" customHeight="false" outlineLevel="0" collapsed="false">
      <c r="A135" s="17" t="s">
        <v>14</v>
      </c>
      <c r="B135" s="83" t="s">
        <v>109</v>
      </c>
      <c r="C135" s="83"/>
      <c r="D135" s="83"/>
      <c r="E135" s="83"/>
      <c r="F135" s="83"/>
      <c r="G135" s="83"/>
      <c r="H135" s="83"/>
      <c r="I135" s="75" t="n">
        <f aca="false">I106</f>
        <v>1587.84304</v>
      </c>
    </row>
    <row r="136" customFormat="false" ht="15.75" hidden="false" customHeight="false" outlineLevel="0" collapsed="false">
      <c r="A136" s="242" t="s">
        <v>140</v>
      </c>
      <c r="B136" s="242"/>
      <c r="C136" s="242"/>
      <c r="D136" s="242"/>
      <c r="E136" s="242"/>
      <c r="F136" s="242"/>
      <c r="G136" s="242"/>
      <c r="H136" s="242"/>
      <c r="I136" s="207" t="n">
        <f aca="false">SUM(I132:I135)</f>
        <v>4570.44729</v>
      </c>
    </row>
    <row r="137" customFormat="false" ht="15.75" hidden="false" customHeight="false" outlineLevel="0" collapsed="false">
      <c r="A137" s="17" t="s">
        <v>40</v>
      </c>
      <c r="B137" s="83" t="s">
        <v>141</v>
      </c>
      <c r="C137" s="83"/>
      <c r="D137" s="83"/>
      <c r="E137" s="83"/>
      <c r="F137" s="83"/>
      <c r="G137" s="83"/>
      <c r="H137" s="83"/>
      <c r="I137" s="75" t="n">
        <f aca="false">I122</f>
        <v>1365.36</v>
      </c>
    </row>
    <row r="138" customFormat="false" ht="17.25" hidden="false" customHeight="true" outlineLevel="0" collapsed="false">
      <c r="A138" s="60" t="s">
        <v>142</v>
      </c>
      <c r="B138" s="60"/>
      <c r="C138" s="60"/>
      <c r="D138" s="60"/>
      <c r="E138" s="60"/>
      <c r="F138" s="60"/>
      <c r="G138" s="60"/>
      <c r="H138" s="60"/>
      <c r="I138" s="243" t="n">
        <f aca="false">SUM(I136+I137)</f>
        <v>5935.80729</v>
      </c>
    </row>
    <row r="139" customFormat="false" ht="15" hidden="false" customHeight="true" outlineLevel="0" collapsed="false">
      <c r="A139" s="239"/>
      <c r="B139" s="239"/>
      <c r="C139" s="239"/>
      <c r="D139" s="239"/>
      <c r="E139" s="239"/>
      <c r="F139" s="239"/>
      <c r="G139" s="239"/>
      <c r="H139" s="239"/>
      <c r="I139" s="239"/>
    </row>
    <row r="140" customFormat="false" ht="15.75" hidden="false" customHeight="false" outlineLevel="0" collapsed="false">
      <c r="A140" s="195" t="s">
        <v>143</v>
      </c>
      <c r="B140" s="195"/>
      <c r="C140" s="195"/>
      <c r="D140" s="195"/>
      <c r="E140" s="195"/>
      <c r="F140" s="195"/>
      <c r="G140" s="195"/>
      <c r="H140" s="195"/>
      <c r="I140" s="195"/>
    </row>
    <row r="141" customFormat="false" ht="15.75" hidden="false" customHeight="false" outlineLevel="0" collapsed="false">
      <c r="A141" s="244" t="s">
        <v>144</v>
      </c>
      <c r="B141" s="244"/>
      <c r="C141" s="244"/>
      <c r="D141" s="244"/>
      <c r="E141" s="244"/>
      <c r="F141" s="244"/>
      <c r="G141" s="244"/>
      <c r="H141" s="244"/>
      <c r="I141" s="244"/>
    </row>
    <row r="142" customFormat="false" ht="62.25" hidden="false" customHeight="true" outlineLevel="0" collapsed="false">
      <c r="A142" s="64" t="s">
        <v>145</v>
      </c>
      <c r="B142" s="64"/>
      <c r="C142" s="245" t="s">
        <v>146</v>
      </c>
      <c r="D142" s="245"/>
      <c r="E142" s="246" t="s">
        <v>147</v>
      </c>
      <c r="F142" s="245" t="s">
        <v>148</v>
      </c>
      <c r="G142" s="245"/>
      <c r="H142" s="245" t="s">
        <v>149</v>
      </c>
      <c r="I142" s="247" t="s">
        <v>150</v>
      </c>
    </row>
    <row r="143" customFormat="false" ht="45" hidden="false" customHeight="true" outlineLevel="0" collapsed="false">
      <c r="A143" s="248" t="s">
        <v>26</v>
      </c>
      <c r="B143" s="248"/>
      <c r="C143" s="249" t="n">
        <f aca="false">I138</f>
        <v>5935.80729</v>
      </c>
      <c r="D143" s="249"/>
      <c r="E143" s="250" t="n">
        <v>2</v>
      </c>
      <c r="F143" s="251" t="n">
        <f aca="false">C143</f>
        <v>5935.80729</v>
      </c>
      <c r="G143" s="251"/>
      <c r="H143" s="252" t="n">
        <v>1</v>
      </c>
      <c r="I143" s="253" t="n">
        <f aca="false">F143*H143</f>
        <v>5935.80729</v>
      </c>
    </row>
    <row r="144" customFormat="false" ht="14.25" hidden="false" customHeight="true" outlineLevel="0" collapsed="false">
      <c r="A144" s="239"/>
      <c r="B144" s="239"/>
      <c r="C144" s="239"/>
      <c r="D144" s="239"/>
      <c r="E144" s="239"/>
      <c r="F144" s="239"/>
      <c r="G144" s="239"/>
      <c r="H144" s="239"/>
      <c r="I144" s="239"/>
    </row>
    <row r="145" customFormat="false" ht="15.75" hidden="false" customHeight="false" outlineLevel="0" collapsed="false">
      <c r="A145" s="195" t="s">
        <v>151</v>
      </c>
      <c r="B145" s="195"/>
      <c r="C145" s="195"/>
      <c r="D145" s="195"/>
      <c r="E145" s="195"/>
      <c r="F145" s="195"/>
      <c r="G145" s="195"/>
      <c r="H145" s="195"/>
      <c r="I145" s="195"/>
    </row>
    <row r="146" customFormat="false" ht="15.75" hidden="false" customHeight="false" outlineLevel="0" collapsed="false">
      <c r="A146" s="244" t="s">
        <v>152</v>
      </c>
      <c r="B146" s="244"/>
      <c r="C146" s="244"/>
      <c r="D146" s="244"/>
      <c r="E146" s="244"/>
      <c r="F146" s="244"/>
      <c r="G146" s="244"/>
      <c r="H146" s="244"/>
      <c r="I146" s="244"/>
    </row>
    <row r="147" customFormat="false" ht="15.75" hidden="false" customHeight="false" outlineLevel="0" collapsed="false">
      <c r="A147" s="254" t="s">
        <v>153</v>
      </c>
      <c r="B147" s="254"/>
      <c r="C147" s="254"/>
      <c r="D147" s="254"/>
      <c r="E147" s="254"/>
      <c r="F147" s="254"/>
      <c r="G147" s="254"/>
      <c r="H147" s="254"/>
      <c r="I147" s="254"/>
    </row>
    <row r="148" customFormat="false" ht="15.75" hidden="false" customHeight="false" outlineLevel="0" collapsed="false">
      <c r="A148" s="255" t="s">
        <v>8</v>
      </c>
      <c r="B148" s="83" t="s">
        <v>154</v>
      </c>
      <c r="C148" s="83"/>
      <c r="D148" s="83"/>
      <c r="E148" s="83"/>
      <c r="F148" s="83"/>
      <c r="G148" s="83"/>
      <c r="H148" s="83"/>
      <c r="I148" s="256" t="n">
        <f aca="false">F143</f>
        <v>5935.80729</v>
      </c>
    </row>
    <row r="149" customFormat="false" ht="15.75" hidden="false" customHeight="false" outlineLevel="0" collapsed="false">
      <c r="A149" s="255" t="s">
        <v>10</v>
      </c>
      <c r="B149" s="83" t="s">
        <v>155</v>
      </c>
      <c r="C149" s="83"/>
      <c r="D149" s="83"/>
      <c r="E149" s="83"/>
      <c r="F149" s="83"/>
      <c r="G149" s="83"/>
      <c r="H149" s="83"/>
      <c r="I149" s="257" t="n">
        <f aca="false">I143</f>
        <v>5935.80729</v>
      </c>
    </row>
    <row r="150" customFormat="false" ht="18" hidden="false" customHeight="true" outlineLevel="0" collapsed="false">
      <c r="A150" s="258" t="s">
        <v>12</v>
      </c>
      <c r="B150" s="259" t="s">
        <v>156</v>
      </c>
      <c r="C150" s="259"/>
      <c r="D150" s="259"/>
      <c r="E150" s="259"/>
      <c r="F150" s="259"/>
      <c r="G150" s="259"/>
      <c r="H150" s="259"/>
      <c r="I150" s="260" t="n">
        <f aca="false">I149*12</f>
        <v>71229.68748</v>
      </c>
    </row>
  </sheetData>
  <mergeCells count="155">
    <mergeCell ref="A8:I8"/>
    <mergeCell ref="A9:I9"/>
    <mergeCell ref="A10:I10"/>
    <mergeCell ref="A11:I11"/>
    <mergeCell ref="A12:I12"/>
    <mergeCell ref="A13:I13"/>
    <mergeCell ref="A14:I14"/>
    <mergeCell ref="B15:H15"/>
    <mergeCell ref="B16:H16"/>
    <mergeCell ref="B17:H17"/>
    <mergeCell ref="B18:H18"/>
    <mergeCell ref="A19:I19"/>
    <mergeCell ref="A20:D20"/>
    <mergeCell ref="E20:F20"/>
    <mergeCell ref="G20:I20"/>
    <mergeCell ref="A21:D21"/>
    <mergeCell ref="E21:F22"/>
    <mergeCell ref="G21:I22"/>
    <mergeCell ref="A22:D22"/>
    <mergeCell ref="B23:I23"/>
    <mergeCell ref="A24:I24"/>
    <mergeCell ref="A25:I25"/>
    <mergeCell ref="A26:I26"/>
    <mergeCell ref="B27:H27"/>
    <mergeCell ref="B28:H28"/>
    <mergeCell ref="B29:H29"/>
    <mergeCell ref="B30:H30"/>
    <mergeCell ref="B31:H31"/>
    <mergeCell ref="B32:H32"/>
    <mergeCell ref="B33:H33"/>
    <mergeCell ref="A34:I34"/>
    <mergeCell ref="A35:I35"/>
    <mergeCell ref="B36:H36"/>
    <mergeCell ref="B37:H37"/>
    <mergeCell ref="B38:H38"/>
    <mergeCell ref="B39:H39"/>
    <mergeCell ref="A40:H40"/>
    <mergeCell ref="A41:I41"/>
    <mergeCell ref="B42:H42"/>
    <mergeCell ref="A43:A45"/>
    <mergeCell ref="B43:H43"/>
    <mergeCell ref="B44:G44"/>
    <mergeCell ref="B45:G45"/>
    <mergeCell ref="A46:A47"/>
    <mergeCell ref="B46:H46"/>
    <mergeCell ref="B47:G47"/>
    <mergeCell ref="B48:H48"/>
    <mergeCell ref="A49:H49"/>
    <mergeCell ref="A50:I50"/>
    <mergeCell ref="A51:I51"/>
    <mergeCell ref="B52:H52"/>
    <mergeCell ref="B53:H53"/>
    <mergeCell ref="A54:H54"/>
    <mergeCell ref="A55:I55"/>
    <mergeCell ref="A56:I56"/>
    <mergeCell ref="B57:G57"/>
    <mergeCell ref="B58:G58"/>
    <mergeCell ref="B59:G59"/>
    <mergeCell ref="B60:G60"/>
    <mergeCell ref="B61:G61"/>
    <mergeCell ref="B62:G62"/>
    <mergeCell ref="B63:G63"/>
    <mergeCell ref="B64:E64"/>
    <mergeCell ref="B65:G65"/>
    <mergeCell ref="A66:G66"/>
    <mergeCell ref="A67:I67"/>
    <mergeCell ref="A68:I68"/>
    <mergeCell ref="A69:I69"/>
    <mergeCell ref="B70:H70"/>
    <mergeCell ref="B71:H71"/>
    <mergeCell ref="A72:H72"/>
    <mergeCell ref="B73:H73"/>
    <mergeCell ref="A74:H74"/>
    <mergeCell ref="A75:I75"/>
    <mergeCell ref="B76:H76"/>
    <mergeCell ref="B77:H77"/>
    <mergeCell ref="B78:H78"/>
    <mergeCell ref="A79:H79"/>
    <mergeCell ref="A80:I80"/>
    <mergeCell ref="B81:H81"/>
    <mergeCell ref="B82:H82"/>
    <mergeCell ref="B83:H83"/>
    <mergeCell ref="B84:H84"/>
    <mergeCell ref="B85:H85"/>
    <mergeCell ref="B86:H86"/>
    <mergeCell ref="B87:H87"/>
    <mergeCell ref="A88:H88"/>
    <mergeCell ref="A89:I89"/>
    <mergeCell ref="B90:H90"/>
    <mergeCell ref="B91:H91"/>
    <mergeCell ref="B92:H92"/>
    <mergeCell ref="B93:H93"/>
    <mergeCell ref="B94:H94"/>
    <mergeCell ref="B95:H95"/>
    <mergeCell ref="A96:H96"/>
    <mergeCell ref="B97:H97"/>
    <mergeCell ref="A98:H98"/>
    <mergeCell ref="A99:I99"/>
    <mergeCell ref="B100:H100"/>
    <mergeCell ref="B101:H101"/>
    <mergeCell ref="B102:H102"/>
    <mergeCell ref="B103:H103"/>
    <mergeCell ref="B104:H104"/>
    <mergeCell ref="B105:H105"/>
    <mergeCell ref="A106:H106"/>
    <mergeCell ref="A107:I107"/>
    <mergeCell ref="B108:G108"/>
    <mergeCell ref="A109:G109"/>
    <mergeCell ref="B110:G110"/>
    <mergeCell ref="A111:G111"/>
    <mergeCell ref="B112:G112"/>
    <mergeCell ref="A113:G113"/>
    <mergeCell ref="A114:A121"/>
    <mergeCell ref="B114:G114"/>
    <mergeCell ref="B115:G115"/>
    <mergeCell ref="B116:G116"/>
    <mergeCell ref="B117:G117"/>
    <mergeCell ref="B118:G118"/>
    <mergeCell ref="B119:G119"/>
    <mergeCell ref="B120:G120"/>
    <mergeCell ref="B121:G121"/>
    <mergeCell ref="A122:H122"/>
    <mergeCell ref="A123:G123"/>
    <mergeCell ref="A124:B125"/>
    <mergeCell ref="C124:I124"/>
    <mergeCell ref="C125:I125"/>
    <mergeCell ref="A126:I126"/>
    <mergeCell ref="A127:I127"/>
    <mergeCell ref="A128:I128"/>
    <mergeCell ref="A129:I129"/>
    <mergeCell ref="A130:I130"/>
    <mergeCell ref="A131:H131"/>
    <mergeCell ref="B132:H132"/>
    <mergeCell ref="B133:H133"/>
    <mergeCell ref="B134:H134"/>
    <mergeCell ref="B135:H135"/>
    <mergeCell ref="A136:H136"/>
    <mergeCell ref="B137:H137"/>
    <mergeCell ref="A138:H138"/>
    <mergeCell ref="A139:I139"/>
    <mergeCell ref="A140:I140"/>
    <mergeCell ref="A141:I141"/>
    <mergeCell ref="A142:B142"/>
    <mergeCell ref="C142:D142"/>
    <mergeCell ref="F142:G142"/>
    <mergeCell ref="A143:B143"/>
    <mergeCell ref="C143:D143"/>
    <mergeCell ref="F143:G143"/>
    <mergeCell ref="A144:I144"/>
    <mergeCell ref="A145:I145"/>
    <mergeCell ref="A146:I146"/>
    <mergeCell ref="A147:I147"/>
    <mergeCell ref="B148:H148"/>
    <mergeCell ref="B149:H149"/>
    <mergeCell ref="B150:H150"/>
  </mergeCells>
  <printOptions headings="false" gridLines="false" gridLinesSet="true" horizontalCentered="true" verticalCentered="true"/>
  <pageMargins left="0.510416666666667" right="0.510416666666667" top="0.7875" bottom="0.78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4" man="true" max="16383" min="0"/>
    <brk id="106" man="true" max="16383" min="0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tabColor rgb="FF000000"/>
    <pageSetUpPr fitToPage="true"/>
  </sheetPr>
  <dimension ref="A1:M72"/>
  <sheetViews>
    <sheetView showFormulas="false" showGridLines="true" showRowColHeaders="true" showZeros="true" rightToLeft="false" tabSelected="true" showOutlineSymbols="true" defaultGridColor="true" view="pageBreakPreview" topLeftCell="A34" colorId="64" zoomScale="76" zoomScaleNormal="110" zoomScalePageLayoutView="76" workbookViewId="0">
      <selection pane="topLeft" activeCell="L41" activeCellId="0" sqref="L41"/>
    </sheetView>
  </sheetViews>
  <sheetFormatPr defaultRowHeight="15" zeroHeight="false" outlineLevelRow="0" outlineLevelCol="0"/>
  <cols>
    <col collapsed="false" customWidth="true" hidden="false" outlineLevel="0" max="1" min="1" style="500" width="7"/>
    <col collapsed="false" customWidth="true" hidden="false" outlineLevel="0" max="2" min="2" style="501" width="8.57"/>
    <col collapsed="false" customWidth="true" hidden="false" outlineLevel="0" max="3" min="3" style="501" width="38.57"/>
    <col collapsed="false" customWidth="true" hidden="false" outlineLevel="0" max="4" min="4" style="501" width="8.57"/>
    <col collapsed="false" customWidth="true" hidden="false" outlineLevel="0" max="5" min="5" style="501" width="8.14"/>
    <col collapsed="false" customWidth="true" hidden="false" outlineLevel="0" max="6" min="6" style="501" width="10.71"/>
    <col collapsed="false" customWidth="true" hidden="false" outlineLevel="0" max="7" min="7" style="501" width="14.57"/>
    <col collapsed="false" customWidth="true" hidden="false" outlineLevel="0" max="8" min="8" style="501" width="21.43"/>
    <col collapsed="false" customWidth="true" hidden="false" outlineLevel="0" max="9" min="9" style="501" width="20.14"/>
    <col collapsed="false" customWidth="true" hidden="false" outlineLevel="0" max="10" min="10" style="501" width="17.71"/>
    <col collapsed="false" customWidth="true" hidden="false" outlineLevel="0" max="11" min="11" style="501" width="12.14"/>
    <col collapsed="false" customWidth="true" hidden="false" outlineLevel="0" max="1025" min="12" style="501" width="28.57"/>
  </cols>
  <sheetData>
    <row r="1" customFormat="false" ht="15" hidden="false" customHeight="false" outlineLevel="0" collapsed="false">
      <c r="G1" s="262"/>
      <c r="H1" s="262"/>
      <c r="I1" s="262"/>
      <c r="J1" s="262"/>
      <c r="K1" s="262"/>
    </row>
    <row r="2" customFormat="false" ht="15" hidden="false" customHeight="false" outlineLevel="0" collapsed="false">
      <c r="G2" s="262"/>
      <c r="H2" s="262"/>
      <c r="I2" s="262"/>
      <c r="J2" s="262"/>
      <c r="K2" s="262"/>
    </row>
    <row r="3" customFormat="false" ht="15" hidden="false" customHeight="false" outlineLevel="0" collapsed="false">
      <c r="G3" s="262"/>
      <c r="H3" s="262"/>
      <c r="I3" s="262"/>
      <c r="J3" s="262"/>
      <c r="K3" s="262"/>
    </row>
    <row r="4" customFormat="false" ht="15.75" hidden="false" customHeight="false" outlineLevel="0" collapsed="false">
      <c r="A4" s="173"/>
      <c r="G4" s="262"/>
      <c r="H4" s="262"/>
      <c r="I4" s="262"/>
      <c r="J4" s="262"/>
      <c r="K4" s="262"/>
    </row>
    <row r="5" s="502" customFormat="true" ht="12.75" hidden="false" customHeight="false" outlineLevel="0" collapsed="false">
      <c r="G5" s="503"/>
      <c r="H5" s="503"/>
      <c r="I5" s="503"/>
      <c r="J5" s="503"/>
      <c r="K5" s="503"/>
    </row>
    <row r="6" customFormat="false" ht="15" hidden="false" customHeight="false" outlineLevel="0" collapsed="false">
      <c r="A6" s="504" t="s">
        <v>301</v>
      </c>
      <c r="B6" s="504"/>
      <c r="C6" s="504"/>
      <c r="D6" s="504"/>
      <c r="E6" s="504"/>
      <c r="F6" s="504"/>
      <c r="G6" s="504"/>
      <c r="H6" s="504"/>
      <c r="I6" s="504"/>
      <c r="J6" s="504"/>
      <c r="K6" s="504"/>
    </row>
    <row r="7" customFormat="false" ht="15" hidden="false" customHeight="false" outlineLevel="0" collapsed="false">
      <c r="A7" s="505" t="s">
        <v>302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</row>
    <row r="8" customFormat="false" ht="15.75" hidden="false" customHeight="true" outlineLevel="0" collapsed="false">
      <c r="A8" s="506" t="s">
        <v>303</v>
      </c>
      <c r="B8" s="506"/>
      <c r="C8" s="506"/>
      <c r="D8" s="506"/>
      <c r="E8" s="506"/>
      <c r="F8" s="506"/>
      <c r="G8" s="506"/>
      <c r="H8" s="506"/>
      <c r="I8" s="506"/>
      <c r="J8" s="506"/>
      <c r="K8" s="506"/>
    </row>
    <row r="9" customFormat="false" ht="18" hidden="false" customHeight="true" outlineLevel="0" collapsed="false">
      <c r="A9" s="507" t="s">
        <v>304</v>
      </c>
      <c r="B9" s="507"/>
      <c r="C9" s="507"/>
      <c r="D9" s="508" t="s">
        <v>305</v>
      </c>
      <c r="E9" s="509" t="s">
        <v>306</v>
      </c>
      <c r="F9" s="509"/>
      <c r="G9" s="510" t="s">
        <v>307</v>
      </c>
      <c r="H9" s="511" t="s">
        <v>308</v>
      </c>
      <c r="I9" s="512" t="s">
        <v>309</v>
      </c>
      <c r="J9" s="511" t="s">
        <v>310</v>
      </c>
      <c r="K9" s="511" t="s">
        <v>311</v>
      </c>
    </row>
    <row r="10" customFormat="false" ht="24.75" hidden="false" customHeight="true" outlineLevel="0" collapsed="false">
      <c r="A10" s="508" t="s">
        <v>312</v>
      </c>
      <c r="B10" s="513" t="s">
        <v>313</v>
      </c>
      <c r="C10" s="514" t="s">
        <v>314</v>
      </c>
      <c r="D10" s="508"/>
      <c r="E10" s="515" t="s">
        <v>315</v>
      </c>
      <c r="F10" s="516" t="s">
        <v>316</v>
      </c>
      <c r="G10" s="510"/>
      <c r="H10" s="511"/>
      <c r="I10" s="512"/>
      <c r="J10" s="511"/>
      <c r="K10" s="511"/>
    </row>
    <row r="11" customFormat="false" ht="18" hidden="false" customHeight="true" outlineLevel="0" collapsed="false">
      <c r="A11" s="517" t="s">
        <v>317</v>
      </c>
      <c r="B11" s="518" t="s">
        <v>185</v>
      </c>
      <c r="C11" s="519" t="s">
        <v>318</v>
      </c>
      <c r="D11" s="520" t="n">
        <f aca="false">SUM(E11,F11)</f>
        <v>0</v>
      </c>
      <c r="E11" s="520" t="n">
        <v>0</v>
      </c>
      <c r="F11" s="521" t="n">
        <v>0</v>
      </c>
      <c r="G11" s="522" t="n">
        <f aca="false">'Alegrete 1.1'!I148</f>
        <v>5935.80729</v>
      </c>
      <c r="H11" s="522" t="n">
        <f aca="false">G11*E11</f>
        <v>0</v>
      </c>
      <c r="I11" s="522" t="n">
        <f aca="false">G11*F11</f>
        <v>0</v>
      </c>
      <c r="J11" s="523" t="n">
        <f aca="false">H11+I11</f>
        <v>0</v>
      </c>
      <c r="K11" s="524" t="n">
        <f aca="false">J11*12</f>
        <v>0</v>
      </c>
    </row>
    <row r="12" customFormat="false" ht="27.75" hidden="false" customHeight="true" outlineLevel="0" collapsed="false">
      <c r="A12" s="517" t="s">
        <v>319</v>
      </c>
      <c r="B12" s="518"/>
      <c r="C12" s="519" t="s">
        <v>202</v>
      </c>
      <c r="D12" s="520" t="n">
        <f aca="false">SUM(E12,F12)</f>
        <v>1</v>
      </c>
      <c r="E12" s="520" t="n">
        <v>1</v>
      </c>
      <c r="F12" s="521" t="n">
        <v>0</v>
      </c>
      <c r="G12" s="522" t="n">
        <f aca="false">'Alegrete 1.2'!I150</f>
        <v>7884.38725</v>
      </c>
      <c r="H12" s="522" t="n">
        <f aca="false">G12*E12</f>
        <v>7884.38725</v>
      </c>
      <c r="I12" s="522" t="n">
        <f aca="false">G12*F12</f>
        <v>0</v>
      </c>
      <c r="J12" s="523" t="n">
        <f aca="false">H12+I12</f>
        <v>7884.38725</v>
      </c>
      <c r="K12" s="524" t="n">
        <f aca="false">J12*12</f>
        <v>94612.647</v>
      </c>
    </row>
    <row r="13" customFormat="false" ht="27.75" hidden="false" customHeight="true" outlineLevel="0" collapsed="false">
      <c r="A13" s="517" t="s">
        <v>320</v>
      </c>
      <c r="B13" s="518"/>
      <c r="C13" s="519" t="s">
        <v>217</v>
      </c>
      <c r="D13" s="520" t="n">
        <f aca="false">SUM(E13,F13)</f>
        <v>1</v>
      </c>
      <c r="E13" s="520" t="n">
        <v>0</v>
      </c>
      <c r="F13" s="521" t="n">
        <v>1</v>
      </c>
      <c r="G13" s="522" t="n">
        <f aca="false">'Alegrete 1.3'!I151</f>
        <v>8573.75825</v>
      </c>
      <c r="H13" s="522" t="n">
        <f aca="false">G13*E13</f>
        <v>0</v>
      </c>
      <c r="I13" s="522" t="n">
        <f aca="false">G13*F13</f>
        <v>8573.75825</v>
      </c>
      <c r="J13" s="523" t="n">
        <f aca="false">H13+I13</f>
        <v>8573.75825</v>
      </c>
      <c r="K13" s="524" t="n">
        <f aca="false">J13*12</f>
        <v>102885.099</v>
      </c>
    </row>
    <row r="14" customFormat="false" ht="26.25" hidden="false" customHeight="true" outlineLevel="0" collapsed="false">
      <c r="A14" s="517" t="s">
        <v>321</v>
      </c>
      <c r="B14" s="518"/>
      <c r="C14" s="525" t="s">
        <v>209</v>
      </c>
      <c r="D14" s="520" t="n">
        <f aca="false">SUM(E14,F14)</f>
        <v>1</v>
      </c>
      <c r="E14" s="520" t="n">
        <v>1</v>
      </c>
      <c r="F14" s="521" t="n">
        <v>0</v>
      </c>
      <c r="G14" s="522" t="n">
        <f aca="false">'Alegrete 1.4'!I149</f>
        <v>6972.254375</v>
      </c>
      <c r="H14" s="522" t="n">
        <f aca="false">G14*E14</f>
        <v>6972.254375</v>
      </c>
      <c r="I14" s="522" t="n">
        <f aca="false">G14*F14</f>
        <v>0</v>
      </c>
      <c r="J14" s="523" t="n">
        <f aca="false">H14+I14</f>
        <v>6972.254375</v>
      </c>
      <c r="K14" s="524" t="n">
        <f aca="false">J14*12</f>
        <v>83667.0525</v>
      </c>
    </row>
    <row r="15" customFormat="false" ht="18.75" hidden="false" customHeight="true" outlineLevel="0" collapsed="false">
      <c r="A15" s="526" t="s">
        <v>322</v>
      </c>
      <c r="B15" s="526"/>
      <c r="C15" s="526"/>
      <c r="D15" s="527" t="n">
        <f aca="false">SUM(E15,F15)</f>
        <v>3</v>
      </c>
      <c r="E15" s="527" t="n">
        <f aca="false">SUM(E11:E14)</f>
        <v>2</v>
      </c>
      <c r="F15" s="528" t="n">
        <f aca="false">SUM(F11:F14)</f>
        <v>1</v>
      </c>
      <c r="G15" s="529" t="s">
        <v>198</v>
      </c>
      <c r="H15" s="511" t="n">
        <f aca="false">SUM(H11:H14)</f>
        <v>14856.641625</v>
      </c>
      <c r="I15" s="511" t="n">
        <f aca="false">SUM(I11:I14)</f>
        <v>8573.75825</v>
      </c>
      <c r="J15" s="530" t="n">
        <f aca="false">H15+I15</f>
        <v>23430.399875</v>
      </c>
      <c r="K15" s="531" t="n">
        <f aca="false">J15*12</f>
        <v>281164.7985</v>
      </c>
    </row>
    <row r="16" customFormat="false" ht="21" hidden="false" customHeight="true" outlineLevel="0" collapsed="false">
      <c r="A16" s="517" t="s">
        <v>323</v>
      </c>
      <c r="B16" s="518" t="s">
        <v>223</v>
      </c>
      <c r="C16" s="519" t="s">
        <v>224</v>
      </c>
      <c r="D16" s="520" t="n">
        <f aca="false">SUM(E16,F16)</f>
        <v>0</v>
      </c>
      <c r="E16" s="520" t="n">
        <v>0</v>
      </c>
      <c r="F16" s="521" t="n">
        <v>0</v>
      </c>
      <c r="G16" s="522" t="n">
        <f aca="false">'Bagé 2.1'!I150</f>
        <v>7605.27225</v>
      </c>
      <c r="H16" s="522" t="n">
        <f aca="false">G16*E16</f>
        <v>0</v>
      </c>
      <c r="I16" s="522" t="n">
        <f aca="false">G16*F16</f>
        <v>0</v>
      </c>
      <c r="J16" s="523" t="n">
        <f aca="false">H16+I16</f>
        <v>0</v>
      </c>
      <c r="K16" s="524" t="n">
        <f aca="false">J16*12</f>
        <v>0</v>
      </c>
    </row>
    <row r="17" customFormat="false" ht="26.25" hidden="false" customHeight="true" outlineLevel="0" collapsed="false">
      <c r="A17" s="517" t="s">
        <v>324</v>
      </c>
      <c r="B17" s="518"/>
      <c r="C17" s="525" t="s">
        <v>217</v>
      </c>
      <c r="D17" s="520" t="n">
        <v>1</v>
      </c>
      <c r="E17" s="520" t="n">
        <v>0</v>
      </c>
      <c r="F17" s="521" t="n">
        <v>0</v>
      </c>
      <c r="G17" s="522" t="n">
        <f aca="false">'Bagé 2.2'!I151</f>
        <v>8909.95825</v>
      </c>
      <c r="H17" s="522" t="n">
        <f aca="false">G17*E17</f>
        <v>0</v>
      </c>
      <c r="I17" s="522" t="n">
        <f aca="false">G17*F17</f>
        <v>0</v>
      </c>
      <c r="J17" s="523" t="n">
        <f aca="false">H17+I17</f>
        <v>0</v>
      </c>
      <c r="K17" s="524" t="n">
        <f aca="false">J17*12</f>
        <v>0</v>
      </c>
    </row>
    <row r="18" customFormat="false" ht="26.25" hidden="false" customHeight="true" outlineLevel="0" collapsed="false">
      <c r="A18" s="517" t="s">
        <v>325</v>
      </c>
      <c r="B18" s="518"/>
      <c r="C18" s="525" t="s">
        <v>234</v>
      </c>
      <c r="D18" s="520" t="n">
        <v>1</v>
      </c>
      <c r="E18" s="520" t="n">
        <v>1</v>
      </c>
      <c r="F18" s="521" t="n">
        <v>0</v>
      </c>
      <c r="G18" s="522" t="n">
        <f aca="false">'Bagé 2.2 (a)'!I151</f>
        <v>9013.34225</v>
      </c>
      <c r="H18" s="522" t="n">
        <f aca="false">G18*E18</f>
        <v>9013.34225</v>
      </c>
      <c r="I18" s="522" t="n">
        <f aca="false">G18*F18</f>
        <v>0</v>
      </c>
      <c r="J18" s="523" t="n">
        <f aca="false">H18+I18</f>
        <v>9013.34225</v>
      </c>
      <c r="K18" s="524" t="n">
        <f aca="false">J18*12</f>
        <v>108160.107</v>
      </c>
    </row>
    <row r="19" customFormat="false" ht="33.75" hidden="false" customHeight="true" outlineLevel="0" collapsed="false">
      <c r="A19" s="517" t="s">
        <v>326</v>
      </c>
      <c r="B19" s="518"/>
      <c r="C19" s="525" t="s">
        <v>236</v>
      </c>
      <c r="D19" s="520" t="n">
        <f aca="false">SUM(E19,F19)</f>
        <v>1</v>
      </c>
      <c r="E19" s="520" t="n">
        <v>1</v>
      </c>
      <c r="F19" s="521" t="n">
        <v>0</v>
      </c>
      <c r="G19" s="522" t="n">
        <f aca="false">'Bagé 2.3'!I148</f>
        <v>4081.914125</v>
      </c>
      <c r="H19" s="522" t="n">
        <f aca="false">G19*E19</f>
        <v>4081.914125</v>
      </c>
      <c r="I19" s="522" t="n">
        <f aca="false">G19*F19</f>
        <v>0</v>
      </c>
      <c r="J19" s="523" t="n">
        <f aca="false">H19+I19</f>
        <v>4081.914125</v>
      </c>
      <c r="K19" s="524" t="n">
        <f aca="false">J19*12</f>
        <v>48982.9695</v>
      </c>
    </row>
    <row r="20" customFormat="false" ht="18" hidden="false" customHeight="true" outlineLevel="0" collapsed="false">
      <c r="A20" s="526" t="s">
        <v>327</v>
      </c>
      <c r="B20" s="526"/>
      <c r="C20" s="526"/>
      <c r="D20" s="527" t="n">
        <f aca="false">SUM(E20,F20)</f>
        <v>2</v>
      </c>
      <c r="E20" s="527" t="n">
        <f aca="false">SUM(E16:E19)</f>
        <v>2</v>
      </c>
      <c r="F20" s="528" t="n">
        <f aca="false">SUM(F16:F19)</f>
        <v>0</v>
      </c>
      <c r="G20" s="529" t="s">
        <v>198</v>
      </c>
      <c r="H20" s="511" t="n">
        <f aca="false">SUM(H16:H19)</f>
        <v>13095.256375</v>
      </c>
      <c r="I20" s="511" t="n">
        <f aca="false">SUM(I16:I19)</f>
        <v>0</v>
      </c>
      <c r="J20" s="530" t="n">
        <f aca="false">H20+I20</f>
        <v>13095.256375</v>
      </c>
      <c r="K20" s="531" t="n">
        <f aca="false">J20*12</f>
        <v>157143.0765</v>
      </c>
    </row>
    <row r="21" customFormat="false" ht="26.25" hidden="false" customHeight="true" outlineLevel="0" collapsed="false">
      <c r="A21" s="517" t="s">
        <v>328</v>
      </c>
      <c r="B21" s="532" t="s">
        <v>239</v>
      </c>
      <c r="C21" s="519" t="s">
        <v>217</v>
      </c>
      <c r="D21" s="520" t="n">
        <f aca="false">SUM(E21,F21)</f>
        <v>3</v>
      </c>
      <c r="E21" s="520" t="n">
        <v>1</v>
      </c>
      <c r="F21" s="521" t="n">
        <v>2</v>
      </c>
      <c r="G21" s="522" t="n">
        <f aca="false">'Caçapava 3.1'!I151</f>
        <v>8619.93825</v>
      </c>
      <c r="H21" s="522" t="n">
        <f aca="false">G21*E21</f>
        <v>8619.93825</v>
      </c>
      <c r="I21" s="522" t="n">
        <f aca="false">G21*F21</f>
        <v>17239.8765</v>
      </c>
      <c r="J21" s="523" t="n">
        <f aca="false">H21+I21</f>
        <v>25859.81475</v>
      </c>
      <c r="K21" s="524" t="n">
        <f aca="false">J21*12</f>
        <v>310317.777</v>
      </c>
    </row>
    <row r="22" customFormat="false" ht="19.5" hidden="false" customHeight="true" outlineLevel="0" collapsed="false">
      <c r="A22" s="526" t="s">
        <v>329</v>
      </c>
      <c r="B22" s="526"/>
      <c r="C22" s="526"/>
      <c r="D22" s="527" t="n">
        <f aca="false">SUM(E22,F22)</f>
        <v>3</v>
      </c>
      <c r="E22" s="527" t="n">
        <f aca="false">SUM(E21)</f>
        <v>1</v>
      </c>
      <c r="F22" s="528" t="n">
        <f aca="false">SUM(F21)</f>
        <v>2</v>
      </c>
      <c r="G22" s="529" t="s">
        <v>198</v>
      </c>
      <c r="H22" s="511" t="n">
        <f aca="false">H21</f>
        <v>8619.93825</v>
      </c>
      <c r="I22" s="511" t="n">
        <f aca="false">I21</f>
        <v>17239.8765</v>
      </c>
      <c r="J22" s="530" t="n">
        <f aca="false">H22+I22</f>
        <v>25859.81475</v>
      </c>
      <c r="K22" s="531" t="n">
        <f aca="false">J22*12</f>
        <v>310317.777</v>
      </c>
    </row>
    <row r="23" customFormat="false" ht="27" hidden="false" customHeight="true" outlineLevel="0" collapsed="false">
      <c r="A23" s="517" t="s">
        <v>61</v>
      </c>
      <c r="B23" s="518" t="s">
        <v>242</v>
      </c>
      <c r="C23" s="519" t="s">
        <v>217</v>
      </c>
      <c r="D23" s="520" t="n">
        <f aca="false">SUM(E23,F23)</f>
        <v>2</v>
      </c>
      <c r="E23" s="520" t="n">
        <v>1</v>
      </c>
      <c r="F23" s="521" t="n">
        <v>1</v>
      </c>
      <c r="G23" s="522" t="n">
        <f aca="false">'Dom Pedrito 4.1'!I151</f>
        <v>8487.77825</v>
      </c>
      <c r="H23" s="522" t="n">
        <f aca="false">G23*E23</f>
        <v>8487.77825</v>
      </c>
      <c r="I23" s="522" t="n">
        <f aca="false">G23*F23</f>
        <v>8487.77825</v>
      </c>
      <c r="J23" s="523" t="n">
        <f aca="false">H23+I23</f>
        <v>16975.5565</v>
      </c>
      <c r="K23" s="524" t="n">
        <f aca="false">J23*12</f>
        <v>203706.678</v>
      </c>
    </row>
    <row r="24" customFormat="false" ht="18.75" hidden="false" customHeight="true" outlineLevel="0" collapsed="false">
      <c r="A24" s="517" t="s">
        <v>80</v>
      </c>
      <c r="B24" s="518"/>
      <c r="C24" s="519" t="s">
        <v>330</v>
      </c>
      <c r="D24" s="520" t="n">
        <f aca="false">SUM(E24,F24)</f>
        <v>1</v>
      </c>
      <c r="E24" s="520" t="n">
        <v>0</v>
      </c>
      <c r="F24" s="521" t="n">
        <v>1</v>
      </c>
      <c r="G24" s="522" t="n">
        <f aca="false">'Dom Pedrito 4.2'!I148</f>
        <v>4893.94845</v>
      </c>
      <c r="H24" s="522" t="n">
        <f aca="false">G24*E24</f>
        <v>0</v>
      </c>
      <c r="I24" s="522" t="n">
        <f aca="false">G24*F24</f>
        <v>4893.94845</v>
      </c>
      <c r="J24" s="523" t="n">
        <f aca="false">H24+I24</f>
        <v>4893.94845</v>
      </c>
      <c r="K24" s="524" t="n">
        <f aca="false">J24*12</f>
        <v>58727.3814</v>
      </c>
    </row>
    <row r="25" customFormat="false" ht="18.75" hidden="false" customHeight="true" outlineLevel="0" collapsed="false">
      <c r="A25" s="526" t="s">
        <v>331</v>
      </c>
      <c r="B25" s="526"/>
      <c r="C25" s="526"/>
      <c r="D25" s="527" t="n">
        <f aca="false">SUM(E25,F25)</f>
        <v>3</v>
      </c>
      <c r="E25" s="527" t="n">
        <f aca="false">SUM(E23:E24)</f>
        <v>1</v>
      </c>
      <c r="F25" s="528" t="n">
        <f aca="false">SUM(F23:F24)</f>
        <v>2</v>
      </c>
      <c r="G25" s="529" t="s">
        <v>198</v>
      </c>
      <c r="H25" s="511" t="n">
        <f aca="false">SUM(H23:H24)</f>
        <v>8487.77825</v>
      </c>
      <c r="I25" s="511" t="n">
        <f aca="false">SUM(I23:I24)</f>
        <v>13381.7267</v>
      </c>
      <c r="J25" s="530" t="n">
        <f aca="false">H25+I25</f>
        <v>21869.50495</v>
      </c>
      <c r="K25" s="531" t="n">
        <f aca="false">J25*12</f>
        <v>262434.0594</v>
      </c>
    </row>
    <row r="26" customFormat="false" ht="24.75" hidden="false" customHeight="true" outlineLevel="0" collapsed="false">
      <c r="A26" s="517" t="s">
        <v>332</v>
      </c>
      <c r="B26" s="518" t="s">
        <v>249</v>
      </c>
      <c r="C26" s="533" t="s">
        <v>333</v>
      </c>
      <c r="D26" s="520" t="n">
        <f aca="false">SUM(E26,F26)</f>
        <v>3</v>
      </c>
      <c r="E26" s="520" t="n">
        <v>1</v>
      </c>
      <c r="F26" s="521" t="n">
        <v>2</v>
      </c>
      <c r="G26" s="522" t="n">
        <f aca="false">'Itaqui 5.1'!I151</f>
        <v>6709.774375</v>
      </c>
      <c r="H26" s="522" t="n">
        <f aca="false">G26*E26</f>
        <v>6709.774375</v>
      </c>
      <c r="I26" s="522" t="n">
        <f aca="false">G26*F26</f>
        <v>13419.54875</v>
      </c>
      <c r="J26" s="523" t="n">
        <f aca="false">H26+I26</f>
        <v>20129.323125</v>
      </c>
      <c r="K26" s="524" t="n">
        <f aca="false">J26*12</f>
        <v>241551.8775</v>
      </c>
    </row>
    <row r="27" customFormat="false" ht="24.75" hidden="false" customHeight="true" outlineLevel="0" collapsed="false">
      <c r="A27" s="517" t="s">
        <v>334</v>
      </c>
      <c r="B27" s="518"/>
      <c r="C27" s="533" t="s">
        <v>273</v>
      </c>
      <c r="D27" s="520" t="n">
        <f aca="false">SUM(E27,F27)</f>
        <v>2</v>
      </c>
      <c r="E27" s="520" t="n">
        <v>1</v>
      </c>
      <c r="F27" s="521" t="n">
        <v>1</v>
      </c>
      <c r="G27" s="522" t="n">
        <f aca="false">'Itaqui 5.2'!I151</f>
        <v>8444.95825</v>
      </c>
      <c r="H27" s="522" t="n">
        <f aca="false">G27*E27</f>
        <v>8444.95825</v>
      </c>
      <c r="I27" s="522" t="n">
        <f aca="false">G27*F27</f>
        <v>8444.95825</v>
      </c>
      <c r="J27" s="523" t="n">
        <f aca="false">H27+I27</f>
        <v>16889.9165</v>
      </c>
      <c r="K27" s="524" t="n">
        <f aca="false">J27*12</f>
        <v>202678.998</v>
      </c>
    </row>
    <row r="28" customFormat="false" ht="18" hidden="false" customHeight="true" outlineLevel="0" collapsed="false">
      <c r="A28" s="526" t="s">
        <v>335</v>
      </c>
      <c r="B28" s="526"/>
      <c r="C28" s="526"/>
      <c r="D28" s="527" t="n">
        <f aca="false">SUM(E28,F28)</f>
        <v>5</v>
      </c>
      <c r="E28" s="527" t="n">
        <f aca="false">SUM(E26:E27)</f>
        <v>2</v>
      </c>
      <c r="F28" s="528" t="n">
        <f aca="false">SUM(F26:F27)</f>
        <v>3</v>
      </c>
      <c r="G28" s="529" t="s">
        <v>198</v>
      </c>
      <c r="H28" s="511" t="n">
        <f aca="false">SUM(H26:H27)</f>
        <v>15154.732625</v>
      </c>
      <c r="I28" s="511" t="n">
        <f aca="false">SUM(I26:I27)</f>
        <v>21864.507</v>
      </c>
      <c r="J28" s="530" t="n">
        <f aca="false">H28+I28</f>
        <v>37019.239625</v>
      </c>
      <c r="K28" s="531" t="n">
        <f aca="false">J28*12</f>
        <v>444230.8755</v>
      </c>
    </row>
    <row r="29" customFormat="false" ht="26.25" hidden="false" customHeight="true" outlineLevel="0" collapsed="false">
      <c r="A29" s="517" t="s">
        <v>336</v>
      </c>
      <c r="B29" s="532" t="s">
        <v>259</v>
      </c>
      <c r="C29" s="519" t="s">
        <v>217</v>
      </c>
      <c r="D29" s="520" t="n">
        <f aca="false">SUM(E29,F29)</f>
        <v>3</v>
      </c>
      <c r="E29" s="520" t="n">
        <v>1</v>
      </c>
      <c r="F29" s="521" t="n">
        <v>2</v>
      </c>
      <c r="G29" s="522" t="n">
        <f aca="false">'Jaguarão 6.1'!I151</f>
        <v>8765.12825</v>
      </c>
      <c r="H29" s="522" t="n">
        <f aca="false">G29*E29</f>
        <v>8765.12825</v>
      </c>
      <c r="I29" s="522" t="n">
        <f aca="false">G29*F29</f>
        <v>17530.2565</v>
      </c>
      <c r="J29" s="523" t="n">
        <f aca="false">H29+I29</f>
        <v>26295.38475</v>
      </c>
      <c r="K29" s="524" t="n">
        <f aca="false">J29*12</f>
        <v>315544.617</v>
      </c>
    </row>
    <row r="30" customFormat="false" ht="18.75" hidden="false" customHeight="true" outlineLevel="0" collapsed="false">
      <c r="A30" s="526" t="s">
        <v>337</v>
      </c>
      <c r="B30" s="526"/>
      <c r="C30" s="526"/>
      <c r="D30" s="527" t="n">
        <f aca="false">SUM(E30,F30)</f>
        <v>3</v>
      </c>
      <c r="E30" s="527" t="n">
        <f aca="false">SUM(E29)</f>
        <v>1</v>
      </c>
      <c r="F30" s="528" t="n">
        <f aca="false">SUM(F29)</f>
        <v>2</v>
      </c>
      <c r="G30" s="529" t="s">
        <v>198</v>
      </c>
      <c r="H30" s="511" t="n">
        <f aca="false">H29</f>
        <v>8765.12825</v>
      </c>
      <c r="I30" s="511" t="n">
        <f aca="false">I29</f>
        <v>17530.2565</v>
      </c>
      <c r="J30" s="530" t="n">
        <f aca="false">H30+I30</f>
        <v>26295.38475</v>
      </c>
      <c r="K30" s="531" t="n">
        <f aca="false">J30*12</f>
        <v>315544.617</v>
      </c>
    </row>
    <row r="31" customFormat="false" ht="27" hidden="false" customHeight="true" outlineLevel="0" collapsed="false">
      <c r="A31" s="517" t="s">
        <v>338</v>
      </c>
      <c r="B31" s="518" t="s">
        <v>263</v>
      </c>
      <c r="C31" s="533" t="s">
        <v>339</v>
      </c>
      <c r="D31" s="520" t="n">
        <f aca="false">SUM(E31,F31)</f>
        <v>1</v>
      </c>
      <c r="E31" s="520" t="n">
        <v>1</v>
      </c>
      <c r="F31" s="521" t="n">
        <v>0</v>
      </c>
      <c r="G31" s="522" t="n">
        <f aca="false">'Livramento 7.1'!I151</f>
        <v>8810.346</v>
      </c>
      <c r="H31" s="522" t="n">
        <f aca="false">G31*E31</f>
        <v>8810.346</v>
      </c>
      <c r="I31" s="522" t="n">
        <f aca="false">G31*F31</f>
        <v>0</v>
      </c>
      <c r="J31" s="523" t="n">
        <f aca="false">H31+I31</f>
        <v>8810.346</v>
      </c>
      <c r="K31" s="524" t="n">
        <f aca="false">J31*12</f>
        <v>105724.152</v>
      </c>
    </row>
    <row r="32" customFormat="false" ht="20.25" hidden="false" customHeight="true" outlineLevel="0" collapsed="false">
      <c r="A32" s="517" t="s">
        <v>340</v>
      </c>
      <c r="B32" s="518"/>
      <c r="C32" s="533" t="s">
        <v>224</v>
      </c>
      <c r="D32" s="520" t="n">
        <f aca="false">SUM(E32,F32)</f>
        <v>1</v>
      </c>
      <c r="E32" s="520" t="n">
        <v>1</v>
      </c>
      <c r="F32" s="521" t="n">
        <v>0</v>
      </c>
      <c r="G32" s="522" t="n">
        <f aca="false">'Livramento 7.2'!I150</f>
        <v>7371.41225</v>
      </c>
      <c r="H32" s="522" t="n">
        <f aca="false">G32*E32</f>
        <v>7371.41225</v>
      </c>
      <c r="I32" s="522" t="n">
        <f aca="false">G32*F32</f>
        <v>0</v>
      </c>
      <c r="J32" s="523" t="n">
        <f aca="false">H32+I32</f>
        <v>7371.41225</v>
      </c>
      <c r="K32" s="524" t="n">
        <f aca="false">J32*12</f>
        <v>88456.947</v>
      </c>
    </row>
    <row r="33" customFormat="false" ht="24.75" hidden="false" customHeight="true" outlineLevel="0" collapsed="false">
      <c r="A33" s="517" t="s">
        <v>341</v>
      </c>
      <c r="B33" s="518"/>
      <c r="C33" s="533" t="s">
        <v>209</v>
      </c>
      <c r="D33" s="520" t="n">
        <f aca="false">SUM(E33,F33)</f>
        <v>1</v>
      </c>
      <c r="E33" s="520" t="n">
        <v>1</v>
      </c>
      <c r="F33" s="521" t="n">
        <v>0</v>
      </c>
      <c r="G33" s="522" t="n">
        <f aca="false">'Livramento 7.3'!I149</f>
        <v>6927.654375</v>
      </c>
      <c r="H33" s="522" t="n">
        <f aca="false">G33*E33</f>
        <v>6927.654375</v>
      </c>
      <c r="I33" s="522" t="n">
        <f aca="false">G33*F33</f>
        <v>0</v>
      </c>
      <c r="J33" s="523" t="n">
        <f aca="false">H33+I33</f>
        <v>6927.654375</v>
      </c>
      <c r="K33" s="524" t="n">
        <f aca="false">J33*12</f>
        <v>83131.8525</v>
      </c>
    </row>
    <row r="34" customFormat="false" ht="27" hidden="false" customHeight="true" outlineLevel="0" collapsed="false">
      <c r="A34" s="517" t="s">
        <v>342</v>
      </c>
      <c r="B34" s="518"/>
      <c r="C34" s="533" t="s">
        <v>273</v>
      </c>
      <c r="D34" s="520" t="n">
        <f aca="false">SUM(E34,F34)</f>
        <v>1</v>
      </c>
      <c r="E34" s="520" t="n">
        <v>1</v>
      </c>
      <c r="F34" s="521" t="n">
        <v>0</v>
      </c>
      <c r="G34" s="522" t="n">
        <f aca="false">'Livramento 7.4'!I151</f>
        <v>8488.91025</v>
      </c>
      <c r="H34" s="522" t="n">
        <f aca="false">G34*E34</f>
        <v>8488.91025</v>
      </c>
      <c r="I34" s="522" t="n">
        <f aca="false">G34*F34</f>
        <v>0</v>
      </c>
      <c r="J34" s="523" t="n">
        <f aca="false">H34+I34</f>
        <v>8488.91025</v>
      </c>
      <c r="K34" s="524" t="n">
        <f aca="false">J34*12</f>
        <v>101866.923</v>
      </c>
    </row>
    <row r="35" customFormat="false" ht="18.75" hidden="false" customHeight="true" outlineLevel="0" collapsed="false">
      <c r="A35" s="526" t="s">
        <v>343</v>
      </c>
      <c r="B35" s="526"/>
      <c r="C35" s="526"/>
      <c r="D35" s="527" t="n">
        <f aca="false">SUM(E35,F35)</f>
        <v>4</v>
      </c>
      <c r="E35" s="527" t="n">
        <f aca="false">SUM(E31:E34)</f>
        <v>4</v>
      </c>
      <c r="F35" s="528" t="n">
        <f aca="false">SUM(F31:F34)</f>
        <v>0</v>
      </c>
      <c r="G35" s="529" t="s">
        <v>198</v>
      </c>
      <c r="H35" s="511" t="n">
        <f aca="false">SUM(H31:H34)</f>
        <v>31598.322875</v>
      </c>
      <c r="I35" s="511" t="n">
        <f aca="false">SUM(I31:I34)</f>
        <v>0</v>
      </c>
      <c r="J35" s="530" t="n">
        <f aca="false">H35+I35</f>
        <v>31598.322875</v>
      </c>
      <c r="K35" s="531" t="n">
        <f aca="false">J35*12</f>
        <v>379179.8745</v>
      </c>
    </row>
    <row r="36" customFormat="false" ht="25.5" hidden="false" customHeight="true" outlineLevel="0" collapsed="false">
      <c r="A36" s="517" t="s">
        <v>344</v>
      </c>
      <c r="B36" s="532" t="s">
        <v>277</v>
      </c>
      <c r="C36" s="519" t="s">
        <v>345</v>
      </c>
      <c r="D36" s="520" t="n">
        <f aca="false">SUM(E36,F36)</f>
        <v>3</v>
      </c>
      <c r="E36" s="520" t="n">
        <v>2</v>
      </c>
      <c r="F36" s="521" t="n">
        <v>1</v>
      </c>
      <c r="G36" s="522" t="n">
        <f aca="false">'São Borja 8.1'!I150</f>
        <v>7778.79225</v>
      </c>
      <c r="H36" s="522" t="n">
        <f aca="false">G36*E36</f>
        <v>15557.5845</v>
      </c>
      <c r="I36" s="522" t="n">
        <f aca="false">G36*F36</f>
        <v>7778.79225</v>
      </c>
      <c r="J36" s="523" t="n">
        <f aca="false">H36+I36</f>
        <v>23336.37675</v>
      </c>
      <c r="K36" s="524" t="n">
        <f aca="false">J36*12</f>
        <v>280036.521</v>
      </c>
    </row>
    <row r="37" customFormat="false" ht="16.5" hidden="false" customHeight="true" outlineLevel="0" collapsed="false">
      <c r="A37" s="526" t="s">
        <v>346</v>
      </c>
      <c r="B37" s="526"/>
      <c r="C37" s="526"/>
      <c r="D37" s="527" t="n">
        <f aca="false">SUM(E37,F37)</f>
        <v>3</v>
      </c>
      <c r="E37" s="527" t="n">
        <f aca="false">SUM(E36)</f>
        <v>2</v>
      </c>
      <c r="F37" s="528" t="n">
        <f aca="false">SUM(F36)</f>
        <v>1</v>
      </c>
      <c r="G37" s="529" t="s">
        <v>198</v>
      </c>
      <c r="H37" s="511" t="n">
        <f aca="false">H36</f>
        <v>15557.5845</v>
      </c>
      <c r="I37" s="511" t="n">
        <f aca="false">I36</f>
        <v>7778.79225</v>
      </c>
      <c r="J37" s="530" t="n">
        <f aca="false">H37+I37</f>
        <v>23336.37675</v>
      </c>
      <c r="K37" s="531" t="n">
        <f aca="false">J37*12</f>
        <v>280036.521</v>
      </c>
    </row>
    <row r="38" customFormat="false" ht="18" hidden="false" customHeight="true" outlineLevel="0" collapsed="false">
      <c r="A38" s="517" t="s">
        <v>347</v>
      </c>
      <c r="B38" s="518" t="s">
        <v>281</v>
      </c>
      <c r="C38" s="519" t="s">
        <v>330</v>
      </c>
      <c r="D38" s="520" t="n">
        <f aca="false">SUM(E38,F38)</f>
        <v>1</v>
      </c>
      <c r="E38" s="520" t="n">
        <v>0</v>
      </c>
      <c r="F38" s="521" t="n">
        <v>1</v>
      </c>
      <c r="G38" s="522" t="n">
        <f aca="false">'São Gabriel 9.1'!I148</f>
        <v>4963.78845</v>
      </c>
      <c r="H38" s="522" t="n">
        <f aca="false">G38*E38</f>
        <v>0</v>
      </c>
      <c r="I38" s="522" t="n">
        <f aca="false">G38*F38</f>
        <v>4963.78845</v>
      </c>
      <c r="J38" s="523" t="n">
        <f aca="false">H38+I38</f>
        <v>4963.78845</v>
      </c>
      <c r="K38" s="524" t="n">
        <f aca="false">J38*12</f>
        <v>59565.4614</v>
      </c>
    </row>
    <row r="39" customFormat="false" ht="22.5" hidden="false" customHeight="true" outlineLevel="0" collapsed="false">
      <c r="A39" s="517" t="s">
        <v>348</v>
      </c>
      <c r="B39" s="518"/>
      <c r="C39" s="533" t="s">
        <v>209</v>
      </c>
      <c r="D39" s="520" t="n">
        <f aca="false">SUM(E39,F39)</f>
        <v>5</v>
      </c>
      <c r="E39" s="520" t="n">
        <v>3</v>
      </c>
      <c r="F39" s="521" t="n">
        <v>2</v>
      </c>
      <c r="G39" s="522" t="n">
        <f aca="false">'São Gabriel 9.2'!I149</f>
        <v>6940.994375</v>
      </c>
      <c r="H39" s="522" t="n">
        <f aca="false">G39*E39</f>
        <v>20822.983125</v>
      </c>
      <c r="I39" s="522" t="n">
        <f aca="false">G39*F39</f>
        <v>13881.98875</v>
      </c>
      <c r="J39" s="523" t="n">
        <f aca="false">H39+I39</f>
        <v>34704.971875</v>
      </c>
      <c r="K39" s="524" t="n">
        <f aca="false">J39*12</f>
        <v>416459.6625</v>
      </c>
    </row>
    <row r="40" customFormat="false" ht="18.75" hidden="false" customHeight="true" outlineLevel="0" collapsed="false">
      <c r="A40" s="526" t="s">
        <v>349</v>
      </c>
      <c r="B40" s="526"/>
      <c r="C40" s="526"/>
      <c r="D40" s="527" t="n">
        <f aca="false">SUM(E40,F40)</f>
        <v>6</v>
      </c>
      <c r="E40" s="527" t="n">
        <f aca="false">SUM(E38:E39)</f>
        <v>3</v>
      </c>
      <c r="F40" s="528" t="n">
        <f aca="false">SUM(F38:F39)</f>
        <v>3</v>
      </c>
      <c r="G40" s="529" t="s">
        <v>198</v>
      </c>
      <c r="H40" s="511" t="n">
        <f aca="false">SUM(H38:H39)</f>
        <v>20822.983125</v>
      </c>
      <c r="I40" s="511" t="n">
        <f aca="false">SUM(I38:I39)</f>
        <v>18845.7772</v>
      </c>
      <c r="J40" s="530" t="n">
        <f aca="false">H40+I40</f>
        <v>39668.760325</v>
      </c>
      <c r="K40" s="531" t="n">
        <f aca="false">J40*12</f>
        <v>476025.1239</v>
      </c>
    </row>
    <row r="41" customFormat="false" ht="27.75" hidden="false" customHeight="true" outlineLevel="0" collapsed="false">
      <c r="A41" s="517" t="s">
        <v>350</v>
      </c>
      <c r="B41" s="518" t="s">
        <v>290</v>
      </c>
      <c r="C41" s="519" t="s">
        <v>351</v>
      </c>
      <c r="D41" s="520" t="n">
        <f aca="false">SUM(E41,F41)</f>
        <v>5</v>
      </c>
      <c r="E41" s="520" t="n">
        <v>1</v>
      </c>
      <c r="F41" s="521" t="n">
        <v>4</v>
      </c>
      <c r="G41" s="522" t="n">
        <f aca="false">'Uruguaiana 10.1'!I151</f>
        <v>8830.48825</v>
      </c>
      <c r="H41" s="522" t="n">
        <f aca="false">G41*E41</f>
        <v>8830.48825</v>
      </c>
      <c r="I41" s="522" t="n">
        <f aca="false">G41*F41</f>
        <v>35321.953</v>
      </c>
      <c r="J41" s="523" t="n">
        <f aca="false">H41+I41</f>
        <v>44152.44125</v>
      </c>
      <c r="K41" s="524" t="n">
        <f aca="false">J41*12</f>
        <v>529829.295</v>
      </c>
    </row>
    <row r="42" customFormat="false" ht="17.25" hidden="false" customHeight="true" outlineLevel="0" collapsed="false">
      <c r="A42" s="517" t="s">
        <v>352</v>
      </c>
      <c r="B42" s="518"/>
      <c r="C42" s="519" t="s">
        <v>224</v>
      </c>
      <c r="D42" s="520" t="n">
        <f aca="false">SUM(E42,F42)</f>
        <v>1</v>
      </c>
      <c r="E42" s="520" t="n">
        <v>0</v>
      </c>
      <c r="F42" s="521" t="n">
        <v>1</v>
      </c>
      <c r="G42" s="522" t="n">
        <f aca="false">'Uruguaiana 10.2'!I150</f>
        <v>7588.56225</v>
      </c>
      <c r="H42" s="522" t="n">
        <f aca="false">G42*E42</f>
        <v>0</v>
      </c>
      <c r="I42" s="522" t="n">
        <f aca="false">G42*F42</f>
        <v>7588.56225</v>
      </c>
      <c r="J42" s="523" t="n">
        <f aca="false">H42+I42</f>
        <v>7588.56225</v>
      </c>
      <c r="K42" s="524" t="n">
        <f aca="false">J42*12</f>
        <v>91062.747</v>
      </c>
    </row>
    <row r="43" customFormat="false" ht="17.25" hidden="false" customHeight="true" outlineLevel="0" collapsed="false">
      <c r="A43" s="517" t="s">
        <v>353</v>
      </c>
      <c r="B43" s="518"/>
      <c r="C43" s="519" t="s">
        <v>330</v>
      </c>
      <c r="D43" s="520" t="n">
        <f aca="false">SUM(E43,F43)</f>
        <v>1</v>
      </c>
      <c r="E43" s="520" t="n">
        <v>1</v>
      </c>
      <c r="F43" s="521" t="n">
        <v>0</v>
      </c>
      <c r="G43" s="522" t="n">
        <f aca="false">'Uruguaiana10.3'!I148</f>
        <v>5133.58345</v>
      </c>
      <c r="H43" s="522" t="n">
        <f aca="false">G43*E43</f>
        <v>5133.58345</v>
      </c>
      <c r="I43" s="522" t="n">
        <f aca="false">G43*F43</f>
        <v>0</v>
      </c>
      <c r="J43" s="523" t="n">
        <f aca="false">H43+I43</f>
        <v>5133.58345</v>
      </c>
      <c r="K43" s="524" t="n">
        <f aca="false">J43*12</f>
        <v>61603.0014</v>
      </c>
    </row>
    <row r="44" customFormat="false" ht="25.5" hidden="false" customHeight="true" outlineLevel="0" collapsed="false">
      <c r="A44" s="517" t="s">
        <v>354</v>
      </c>
      <c r="B44" s="518"/>
      <c r="C44" s="533" t="s">
        <v>209</v>
      </c>
      <c r="D44" s="520" t="n">
        <f aca="false">SUM(E44,F44)</f>
        <v>1</v>
      </c>
      <c r="E44" s="520" t="n">
        <v>1</v>
      </c>
      <c r="F44" s="521" t="n">
        <v>0</v>
      </c>
      <c r="G44" s="522" t="n">
        <f aca="false">'Uruguaiana10.4'!I149</f>
        <v>7181.734375</v>
      </c>
      <c r="H44" s="522" t="n">
        <f aca="false">G44*E44</f>
        <v>7181.734375</v>
      </c>
      <c r="I44" s="522" t="n">
        <f aca="false">G44*F44</f>
        <v>0</v>
      </c>
      <c r="J44" s="523" t="n">
        <f aca="false">H44+I44</f>
        <v>7181.734375</v>
      </c>
      <c r="K44" s="524" t="n">
        <f aca="false">J44*12</f>
        <v>86180.8125</v>
      </c>
    </row>
    <row r="45" customFormat="false" ht="18" hidden="false" customHeight="true" outlineLevel="0" collapsed="false">
      <c r="A45" s="526" t="s">
        <v>355</v>
      </c>
      <c r="B45" s="526"/>
      <c r="C45" s="526"/>
      <c r="D45" s="527" t="n">
        <f aca="false">SUM(E45,F45)</f>
        <v>8</v>
      </c>
      <c r="E45" s="527" t="n">
        <f aca="false">SUM(E41:E44)</f>
        <v>3</v>
      </c>
      <c r="F45" s="528" t="n">
        <f aca="false">SUM(F41:F44)</f>
        <v>5</v>
      </c>
      <c r="G45" s="529" t="s">
        <v>198</v>
      </c>
      <c r="H45" s="511" t="n">
        <f aca="false">SUM(H41:H44)</f>
        <v>21145.806075</v>
      </c>
      <c r="I45" s="511" t="n">
        <f aca="false">SUM(I41:I44)</f>
        <v>42910.51525</v>
      </c>
      <c r="J45" s="530" t="n">
        <f aca="false">H45+I45</f>
        <v>64056.321325</v>
      </c>
      <c r="K45" s="531" t="n">
        <f aca="false">J45*12</f>
        <v>768675.8559</v>
      </c>
    </row>
    <row r="46" customFormat="false" ht="18.75" hidden="false" customHeight="true" outlineLevel="0" collapsed="false">
      <c r="A46" s="517" t="s">
        <v>356</v>
      </c>
      <c r="B46" s="518" t="s">
        <v>357</v>
      </c>
      <c r="C46" s="519" t="s">
        <v>330</v>
      </c>
      <c r="D46" s="520" t="n">
        <f aca="false">SUM(E46,F46)</f>
        <v>1</v>
      </c>
      <c r="E46" s="520" t="n">
        <v>1</v>
      </c>
      <c r="F46" s="521" t="n">
        <v>0</v>
      </c>
      <c r="G46" s="522" t="n">
        <f aca="false">'Reitoria 11.1'!I148</f>
        <v>5133.77845</v>
      </c>
      <c r="H46" s="522" t="n">
        <f aca="false">G46*E46</f>
        <v>5133.77845</v>
      </c>
      <c r="I46" s="522" t="n">
        <f aca="false">G46*F46</f>
        <v>0</v>
      </c>
      <c r="J46" s="523" t="n">
        <f aca="false">H46+I46</f>
        <v>5133.77845</v>
      </c>
      <c r="K46" s="524" t="n">
        <f aca="false">J46*12</f>
        <v>61605.3414</v>
      </c>
    </row>
    <row r="47" customFormat="false" ht="24" hidden="false" customHeight="true" outlineLevel="0" collapsed="false">
      <c r="A47" s="517" t="s">
        <v>358</v>
      </c>
      <c r="B47" s="518"/>
      <c r="C47" s="533" t="s">
        <v>359</v>
      </c>
      <c r="D47" s="520" t="n">
        <f aca="false">SUM(E47,F47)</f>
        <v>2</v>
      </c>
      <c r="E47" s="520" t="n">
        <v>2</v>
      </c>
      <c r="F47" s="521" t="n">
        <v>0</v>
      </c>
      <c r="G47" s="522" t="n">
        <f aca="false">'Reitoria 11.2'!I149</f>
        <v>7182.844375</v>
      </c>
      <c r="H47" s="522" t="n">
        <f aca="false">G47*E47</f>
        <v>14365.68875</v>
      </c>
      <c r="I47" s="522" t="n">
        <f aca="false">G47*F47</f>
        <v>0</v>
      </c>
      <c r="J47" s="523" t="n">
        <f aca="false">H47+I47</f>
        <v>14365.68875</v>
      </c>
      <c r="K47" s="524" t="n">
        <f aca="false">J47*12</f>
        <v>172388.265</v>
      </c>
    </row>
    <row r="48" customFormat="false" ht="18.75" hidden="false" customHeight="true" outlineLevel="0" collapsed="false">
      <c r="A48" s="526" t="s">
        <v>360</v>
      </c>
      <c r="B48" s="526"/>
      <c r="C48" s="526"/>
      <c r="D48" s="527" t="n">
        <f aca="false">SUM(E48,F48)</f>
        <v>3</v>
      </c>
      <c r="E48" s="527" t="n">
        <f aca="false">SUM(E46:E47)</f>
        <v>3</v>
      </c>
      <c r="F48" s="528" t="n">
        <f aca="false">SUM(F46:F47)</f>
        <v>0</v>
      </c>
      <c r="G48" s="529" t="s">
        <v>198</v>
      </c>
      <c r="H48" s="511" t="n">
        <f aca="false">SUM(H46:H47)</f>
        <v>19499.4672</v>
      </c>
      <c r="I48" s="511" t="n">
        <f aca="false">SUM(I46:I47)</f>
        <v>0</v>
      </c>
      <c r="J48" s="530" t="n">
        <f aca="false">H48+I48</f>
        <v>19499.4672</v>
      </c>
      <c r="K48" s="531" t="n">
        <f aca="false">J48*12</f>
        <v>233993.6064</v>
      </c>
    </row>
    <row r="49" customFormat="false" ht="18" hidden="false" customHeight="true" outlineLevel="0" collapsed="false">
      <c r="A49" s="534" t="s">
        <v>361</v>
      </c>
      <c r="B49" s="534"/>
      <c r="C49" s="534"/>
      <c r="D49" s="535" t="n">
        <f aca="false">SUM(D15+D20+D22+D25+D28+D30+D35+D37+D40+D45+D48)</f>
        <v>43</v>
      </c>
      <c r="E49" s="535" t="n">
        <f aca="false">SUM(E15+E20+E22+E25+E28+E30+E35+E37+E40+E45+E48)</f>
        <v>24</v>
      </c>
      <c r="F49" s="535" t="n">
        <f aca="false">SUM(F15+F20+F22+F25+F28+F30+F35+F37+F40+F45+F48)</f>
        <v>19</v>
      </c>
      <c r="G49" s="536" t="s">
        <v>198</v>
      </c>
      <c r="H49" s="536" t="n">
        <f aca="false">H15+H20+H22+H25+H28+H30+H35+H37+H40+H45+H48</f>
        <v>177603.63915</v>
      </c>
      <c r="I49" s="536" t="n">
        <f aca="false">I15+I20+I22+I25+I28+I30+I35+I37+I40+I45+I48</f>
        <v>148125.20965</v>
      </c>
      <c r="J49" s="537" t="n">
        <f aca="false">J15+J20+J22+J25+J28+J30+J35+J37+J40+J45+J48</f>
        <v>325728.8488</v>
      </c>
      <c r="K49" s="538" t="n">
        <f aca="false">J49*12</f>
        <v>3908746.1856</v>
      </c>
    </row>
    <row r="50" s="502" customFormat="true" ht="51" hidden="false" customHeight="true" outlineLevel="0" collapsed="false">
      <c r="A50" s="539" t="s">
        <v>362</v>
      </c>
      <c r="B50" s="539"/>
      <c r="C50" s="539"/>
      <c r="D50" s="539"/>
      <c r="E50" s="539"/>
      <c r="F50" s="539"/>
      <c r="G50" s="539"/>
      <c r="H50" s="539"/>
      <c r="I50" s="539"/>
      <c r="J50" s="539"/>
      <c r="K50" s="539"/>
      <c r="M50" s="540" t="n">
        <f aca="false">H49*12</f>
        <v>2131243.6698</v>
      </c>
    </row>
    <row r="51" customFormat="false" ht="25.5" hidden="false" customHeight="true" outlineLevel="0" collapsed="false">
      <c r="A51" s="541" t="s">
        <v>363</v>
      </c>
      <c r="B51" s="541"/>
      <c r="C51" s="541"/>
      <c r="D51" s="541"/>
      <c r="E51" s="541"/>
      <c r="F51" s="541"/>
      <c r="G51" s="541"/>
      <c r="H51" s="541"/>
      <c r="I51" s="541"/>
      <c r="J51" s="541"/>
      <c r="K51" s="541"/>
    </row>
    <row r="52" customFormat="false" ht="12.75" hidden="false" customHeight="true" outlineLevel="0" collapsed="false">
      <c r="A52" s="541" t="s">
        <v>364</v>
      </c>
      <c r="B52" s="541"/>
      <c r="C52" s="541"/>
      <c r="D52" s="541"/>
      <c r="E52" s="541"/>
      <c r="F52" s="541"/>
      <c r="G52" s="541"/>
      <c r="H52" s="541"/>
      <c r="I52" s="541"/>
      <c r="J52" s="541"/>
      <c r="K52" s="541"/>
    </row>
    <row r="53" customFormat="false" ht="15" hidden="false" customHeight="false" outlineLevel="0" collapsed="false">
      <c r="A53" s="542" t="n">
        <v>1</v>
      </c>
      <c r="B53" s="543" t="s">
        <v>365</v>
      </c>
      <c r="C53" s="543"/>
      <c r="D53" s="544" t="s">
        <v>178</v>
      </c>
      <c r="E53" s="544"/>
      <c r="F53" s="544"/>
      <c r="G53" s="544"/>
      <c r="H53" s="544"/>
      <c r="I53" s="544"/>
      <c r="J53" s="544"/>
      <c r="K53" s="544"/>
    </row>
    <row r="54" customFormat="false" ht="15" hidden="false" customHeight="false" outlineLevel="0" collapsed="false">
      <c r="A54" s="545" t="n">
        <v>2</v>
      </c>
      <c r="B54" s="544" t="s">
        <v>366</v>
      </c>
      <c r="C54" s="544"/>
      <c r="D54" s="544" t="s">
        <v>367</v>
      </c>
      <c r="E54" s="544"/>
      <c r="F54" s="544"/>
      <c r="G54" s="544"/>
      <c r="H54" s="544"/>
      <c r="I54" s="544"/>
      <c r="J54" s="544"/>
      <c r="K54" s="544"/>
    </row>
    <row r="55" customFormat="false" ht="12.75" hidden="false" customHeight="true" outlineLevel="0" collapsed="false">
      <c r="A55" s="546" t="n">
        <v>3</v>
      </c>
      <c r="B55" s="547" t="s">
        <v>368</v>
      </c>
      <c r="C55" s="547"/>
      <c r="D55" s="541" t="s">
        <v>369</v>
      </c>
      <c r="E55" s="541"/>
      <c r="F55" s="541"/>
      <c r="G55" s="541"/>
      <c r="H55" s="541"/>
      <c r="I55" s="541"/>
      <c r="J55" s="541"/>
      <c r="K55" s="541"/>
    </row>
    <row r="56" customFormat="false" ht="15" hidden="false" customHeight="false" outlineLevel="0" collapsed="false">
      <c r="A56" s="545" t="n">
        <v>4</v>
      </c>
      <c r="B56" s="544" t="s">
        <v>370</v>
      </c>
      <c r="C56" s="544"/>
      <c r="D56" s="544" t="s">
        <v>371</v>
      </c>
      <c r="E56" s="544"/>
      <c r="F56" s="544"/>
      <c r="G56" s="544"/>
      <c r="H56" s="544"/>
      <c r="I56" s="544"/>
      <c r="J56" s="544"/>
      <c r="K56" s="544"/>
    </row>
    <row r="57" customFormat="false" ht="15" hidden="false" customHeight="false" outlineLevel="0" collapsed="false">
      <c r="A57" s="545" t="n">
        <v>5</v>
      </c>
      <c r="B57" s="544" t="s">
        <v>372</v>
      </c>
      <c r="C57" s="544"/>
      <c r="D57" s="548" t="s">
        <v>373</v>
      </c>
      <c r="E57" s="548"/>
      <c r="F57" s="548"/>
      <c r="G57" s="548"/>
      <c r="H57" s="548"/>
      <c r="I57" s="548"/>
      <c r="J57" s="548"/>
      <c r="K57" s="548"/>
    </row>
    <row r="58" customFormat="false" ht="15" hidden="false" customHeight="false" outlineLevel="0" collapsed="false">
      <c r="A58" s="545" t="n">
        <v>6</v>
      </c>
      <c r="B58" s="544" t="s">
        <v>374</v>
      </c>
      <c r="C58" s="544"/>
      <c r="D58" s="544" t="s">
        <v>375</v>
      </c>
      <c r="E58" s="544"/>
      <c r="F58" s="544"/>
      <c r="G58" s="544"/>
      <c r="H58" s="544"/>
      <c r="I58" s="544"/>
      <c r="J58" s="544"/>
      <c r="K58" s="544"/>
    </row>
    <row r="59" customFormat="false" ht="15" hidden="false" customHeight="false" outlineLevel="0" collapsed="false">
      <c r="A59" s="545" t="n">
        <v>7</v>
      </c>
      <c r="B59" s="544" t="s">
        <v>376</v>
      </c>
      <c r="C59" s="544"/>
      <c r="D59" s="544"/>
      <c r="E59" s="544"/>
      <c r="F59" s="544"/>
      <c r="G59" s="544"/>
      <c r="H59" s="544"/>
      <c r="I59" s="544"/>
      <c r="J59" s="544"/>
      <c r="K59" s="544"/>
    </row>
    <row r="60" customFormat="false" ht="15" hidden="false" customHeight="false" outlineLevel="0" collapsed="false">
      <c r="A60" s="545" t="n">
        <v>8</v>
      </c>
      <c r="B60" s="544" t="s">
        <v>377</v>
      </c>
      <c r="C60" s="544"/>
      <c r="D60" s="544"/>
      <c r="E60" s="544"/>
      <c r="F60" s="544"/>
      <c r="G60" s="544"/>
      <c r="H60" s="544"/>
      <c r="I60" s="544"/>
      <c r="J60" s="544"/>
      <c r="K60" s="544"/>
    </row>
    <row r="61" customFormat="false" ht="15" hidden="false" customHeight="false" outlineLevel="0" collapsed="false">
      <c r="A61" s="545" t="n">
        <v>9</v>
      </c>
      <c r="B61" s="543" t="s">
        <v>378</v>
      </c>
      <c r="C61" s="543"/>
      <c r="D61" s="544" t="s">
        <v>379</v>
      </c>
      <c r="E61" s="544"/>
      <c r="F61" s="544"/>
      <c r="G61" s="544"/>
      <c r="H61" s="544"/>
      <c r="I61" s="544"/>
      <c r="J61" s="544"/>
      <c r="K61" s="544"/>
    </row>
    <row r="62" customFormat="false" ht="15" hidden="false" customHeight="false" outlineLevel="0" collapsed="false">
      <c r="A62" s="545" t="n">
        <v>10</v>
      </c>
      <c r="B62" s="544" t="s">
        <v>380</v>
      </c>
      <c r="C62" s="544"/>
      <c r="D62" s="544"/>
      <c r="E62" s="544"/>
      <c r="F62" s="544"/>
      <c r="G62" s="544"/>
      <c r="H62" s="544"/>
      <c r="I62" s="544"/>
      <c r="J62" s="544"/>
      <c r="K62" s="544"/>
    </row>
    <row r="63" customFormat="false" ht="15" hidden="false" customHeight="false" outlineLevel="0" collapsed="false">
      <c r="A63" s="549"/>
      <c r="B63" s="550"/>
      <c r="C63" s="550"/>
      <c r="D63" s="550"/>
    </row>
    <row r="64" customFormat="false" ht="15" hidden="false" customHeight="false" outlineLevel="0" collapsed="false">
      <c r="A64" s="502" t="s">
        <v>381</v>
      </c>
      <c r="D64" s="551"/>
    </row>
    <row r="66" customFormat="false" ht="15" hidden="false" customHeight="false" outlineLevel="0" collapsed="false">
      <c r="A66" s="552" t="s">
        <v>382</v>
      </c>
      <c r="B66" s="552"/>
      <c r="C66" s="552"/>
      <c r="D66" s="552"/>
      <c r="E66" s="552"/>
      <c r="F66" s="552"/>
    </row>
    <row r="67" customFormat="false" ht="15" hidden="false" customHeight="false" outlineLevel="0" collapsed="false">
      <c r="A67" s="553" t="s">
        <v>383</v>
      </c>
      <c r="B67" s="554"/>
      <c r="C67" s="554"/>
      <c r="D67" s="554"/>
      <c r="E67" s="554"/>
      <c r="F67" s="555"/>
    </row>
    <row r="68" customFormat="false" ht="15" hidden="false" customHeight="false" outlineLevel="0" collapsed="false">
      <c r="A68" s="556" t="s">
        <v>384</v>
      </c>
      <c r="F68" s="557"/>
    </row>
    <row r="69" customFormat="false" ht="15" hidden="false" customHeight="false" outlineLevel="0" collapsed="false">
      <c r="A69" s="556" t="s">
        <v>385</v>
      </c>
      <c r="F69" s="557"/>
    </row>
    <row r="70" customFormat="false" ht="15" hidden="false" customHeight="false" outlineLevel="0" collapsed="false">
      <c r="A70" s="556" t="s">
        <v>386</v>
      </c>
      <c r="F70" s="557"/>
    </row>
    <row r="71" customFormat="false" ht="15" hidden="false" customHeight="false" outlineLevel="0" collapsed="false">
      <c r="A71" s="556" t="s">
        <v>387</v>
      </c>
      <c r="F71" s="557"/>
    </row>
    <row r="72" customFormat="false" ht="15" hidden="false" customHeight="false" outlineLevel="0" collapsed="false">
      <c r="A72" s="558" t="s">
        <v>388</v>
      </c>
      <c r="B72" s="559"/>
      <c r="C72" s="559"/>
      <c r="D72" s="559"/>
      <c r="E72" s="559"/>
      <c r="F72" s="560"/>
    </row>
  </sheetData>
  <mergeCells count="52">
    <mergeCell ref="A6:K6"/>
    <mergeCell ref="A7:K7"/>
    <mergeCell ref="A8:K8"/>
    <mergeCell ref="A9:C9"/>
    <mergeCell ref="D9:D10"/>
    <mergeCell ref="E9:F9"/>
    <mergeCell ref="G9:G10"/>
    <mergeCell ref="H9:H10"/>
    <mergeCell ref="I9:I10"/>
    <mergeCell ref="J9:J10"/>
    <mergeCell ref="K9:K10"/>
    <mergeCell ref="B11:B14"/>
    <mergeCell ref="A15:C15"/>
    <mergeCell ref="B16:B19"/>
    <mergeCell ref="A20:C20"/>
    <mergeCell ref="A22:C22"/>
    <mergeCell ref="B23:B24"/>
    <mergeCell ref="A25:C25"/>
    <mergeCell ref="B26:B27"/>
    <mergeCell ref="A28:C28"/>
    <mergeCell ref="A30:C30"/>
    <mergeCell ref="B31:B34"/>
    <mergeCell ref="A35:C35"/>
    <mergeCell ref="A37:C37"/>
    <mergeCell ref="B38:B39"/>
    <mergeCell ref="A40:C40"/>
    <mergeCell ref="B41:B44"/>
    <mergeCell ref="A45:C45"/>
    <mergeCell ref="B46:B47"/>
    <mergeCell ref="A48:C48"/>
    <mergeCell ref="A49:C49"/>
    <mergeCell ref="A50:K50"/>
    <mergeCell ref="A51:K51"/>
    <mergeCell ref="A52:K52"/>
    <mergeCell ref="B53:C53"/>
    <mergeCell ref="D53:K53"/>
    <mergeCell ref="B54:C54"/>
    <mergeCell ref="D54:K54"/>
    <mergeCell ref="B55:C55"/>
    <mergeCell ref="D55:K55"/>
    <mergeCell ref="B56:C56"/>
    <mergeCell ref="D56:K56"/>
    <mergeCell ref="B57:C57"/>
    <mergeCell ref="D57:K57"/>
    <mergeCell ref="B58:C58"/>
    <mergeCell ref="D58:K58"/>
    <mergeCell ref="B59:K59"/>
    <mergeCell ref="B60:K60"/>
    <mergeCell ref="B61:C61"/>
    <mergeCell ref="D61:K61"/>
    <mergeCell ref="B62:K62"/>
    <mergeCell ref="A66:F66"/>
  </mergeCells>
  <hyperlinks>
    <hyperlink ref="D57" r:id="rId2" display="sulport-rs@hotmail.com"/>
  </hyperlinks>
  <printOptions headings="false" gridLines="false" gridLinesSet="true" horizontalCentered="false" verticalCentered="false"/>
  <pageMargins left="0.39375" right="0.39375" top="0.747916666666667" bottom="0.747916666666667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3"/>
  <legacyDrawing r:id="rId4"/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76" zoomScaleNormal="100" zoomScalePageLayoutView="76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71"/>
  </cols>
  <sheetData/>
  <printOptions headings="false" gridLines="false" gridLinesSet="true" horizontalCentered="false" verticalCentered="false"/>
  <pageMargins left="0.510416666666667" right="0.51041666666666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96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7"/>
  </cols>
  <sheetData>
    <row r="1" customFormat="false" ht="13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N152"/>
  <sheetViews>
    <sheetView showFormulas="false" showGridLines="true" showRowColHeaders="true" showZeros="true" rightToLeft="false" tabSelected="false" showOutlineSymbols="true" defaultGridColor="true" view="pageBreakPreview" topLeftCell="A121" colorId="64" zoomScale="76" zoomScaleNormal="100" zoomScalePageLayoutView="76" workbookViewId="0">
      <selection pane="topLeft" activeCell="I50" activeCellId="0" sqref="I50"/>
    </sheetView>
  </sheetViews>
  <sheetFormatPr defaultRowHeight="15" zeroHeight="false" outlineLevelRow="0" outlineLevelCol="0"/>
  <cols>
    <col collapsed="false" customWidth="true" hidden="false" outlineLevel="0" max="1" min="1" style="1" width="13.57"/>
    <col collapsed="false" customWidth="true" hidden="false" outlineLevel="0" max="2" min="2" style="1" width="10.99"/>
    <col collapsed="false" customWidth="true" hidden="false" outlineLevel="0" max="3" min="3" style="1" width="15.88"/>
    <col collapsed="false" customWidth="true" hidden="false" outlineLevel="0" max="4" min="4" style="1" width="13.14"/>
    <col collapsed="false" customWidth="true" hidden="false" outlineLevel="0" max="5" min="5" style="1" width="17"/>
    <col collapsed="false" customWidth="true" hidden="false" outlineLevel="0" max="6" min="6" style="1" width="15"/>
    <col collapsed="false" customWidth="true" hidden="false" outlineLevel="0" max="7" min="7" style="1" width="17.71"/>
    <col collapsed="false" customWidth="true" hidden="false" outlineLevel="0" max="8" min="8" style="1" width="21.57"/>
    <col collapsed="false" customWidth="true" hidden="false" outlineLevel="0" max="9" min="9" style="1" width="60.13"/>
    <col collapsed="false" customWidth="true" hidden="true" outlineLevel="0" max="11" min="10" style="1" width="9"/>
    <col collapsed="false" customWidth="true" hidden="false" outlineLevel="0" max="12" min="12" style="1" width="58.57"/>
    <col collapsed="false" customWidth="true" hidden="false" outlineLevel="0" max="1025" min="13" style="1" width="28.57"/>
  </cols>
  <sheetData>
    <row r="1" s="101" customFormat="true" ht="15.75" hidden="false" customHeight="false" outlineLevel="0" collapsed="false">
      <c r="A1" s="173" t="s">
        <v>178</v>
      </c>
      <c r="I1" s="261"/>
    </row>
    <row r="2" s="101" customFormat="true" ht="15.75" hidden="false" customHeight="false" outlineLevel="0" collapsed="false">
      <c r="A2" s="173" t="s">
        <v>179</v>
      </c>
      <c r="I2" s="261"/>
    </row>
    <row r="3" s="101" customFormat="true" ht="15.75" hidden="false" customHeight="false" outlineLevel="0" collapsed="false">
      <c r="A3" s="173" t="s">
        <v>180</v>
      </c>
      <c r="I3" s="261"/>
    </row>
    <row r="4" s="101" customFormat="true" ht="15.75" hidden="false" customHeight="false" outlineLevel="0" collapsed="false">
      <c r="A4" s="173" t="s">
        <v>181</v>
      </c>
      <c r="I4" s="261"/>
    </row>
    <row r="5" s="101" customFormat="true" ht="15.75" hidden="false" customHeight="false" outlineLevel="0" collapsed="false">
      <c r="A5" s="173" t="s">
        <v>182</v>
      </c>
      <c r="I5" s="261"/>
    </row>
    <row r="6" s="101" customFormat="true" ht="15.75" hidden="false" customHeight="false" outlineLevel="0" collapsed="false">
      <c r="A6" s="173" t="s">
        <v>183</v>
      </c>
      <c r="I6" s="261"/>
    </row>
    <row r="7" customFormat="false" ht="15.75" hidden="false" customHeight="false" outlineLevel="0" collapsed="false">
      <c r="A7" s="174" t="s">
        <v>184</v>
      </c>
      <c r="I7" s="262"/>
    </row>
    <row r="8" customFormat="false" ht="15" hidden="false" customHeight="true" outlineLevel="0" collapsed="false">
      <c r="A8" s="263" t="s">
        <v>1</v>
      </c>
      <c r="B8" s="263"/>
      <c r="C8" s="263"/>
      <c r="D8" s="263"/>
      <c r="E8" s="263"/>
      <c r="F8" s="263"/>
      <c r="G8" s="263"/>
      <c r="H8" s="263"/>
      <c r="I8" s="263"/>
    </row>
    <row r="9" customFormat="false" ht="18.75" hidden="false" customHeight="true" outlineLevel="0" collapsed="false">
      <c r="A9" s="4" t="s">
        <v>2</v>
      </c>
      <c r="B9" s="4"/>
      <c r="C9" s="4"/>
      <c r="D9" s="4"/>
      <c r="E9" s="4"/>
      <c r="F9" s="4"/>
      <c r="G9" s="4"/>
      <c r="H9" s="4"/>
      <c r="I9" s="4"/>
    </row>
    <row r="10" customFormat="false" ht="18.75" hidden="false" customHeight="true" outlineLevel="0" collapsed="false">
      <c r="A10" s="5" t="s">
        <v>3</v>
      </c>
      <c r="B10" s="5"/>
      <c r="C10" s="5"/>
      <c r="D10" s="5"/>
      <c r="E10" s="5"/>
      <c r="F10" s="5"/>
      <c r="G10" s="5"/>
      <c r="H10" s="5"/>
      <c r="I10" s="5"/>
    </row>
    <row r="11" customFormat="false" ht="15.75" hidden="false" customHeight="false" outlineLevel="0" collapsed="false">
      <c r="A11" s="6" t="s">
        <v>4</v>
      </c>
      <c r="B11" s="6"/>
      <c r="C11" s="6"/>
      <c r="D11" s="6"/>
      <c r="E11" s="6"/>
      <c r="F11" s="6"/>
      <c r="G11" s="6"/>
      <c r="H11" s="6"/>
      <c r="I11" s="6"/>
    </row>
    <row r="12" customFormat="false" ht="15.75" hidden="false" customHeight="false" outlineLevel="0" collapsed="false">
      <c r="A12" s="7" t="s">
        <v>5</v>
      </c>
      <c r="B12" s="7"/>
      <c r="C12" s="7"/>
      <c r="D12" s="7"/>
      <c r="E12" s="7"/>
      <c r="F12" s="7"/>
      <c r="G12" s="7"/>
      <c r="H12" s="7"/>
      <c r="I12" s="7"/>
    </row>
    <row r="13" customFormat="false" ht="15.75" hidden="false" customHeight="false" outlineLevel="0" collapsed="false">
      <c r="A13" s="8" t="s">
        <v>6</v>
      </c>
      <c r="B13" s="8"/>
      <c r="C13" s="8"/>
      <c r="D13" s="8"/>
      <c r="E13" s="8"/>
      <c r="F13" s="8"/>
      <c r="G13" s="8"/>
      <c r="H13" s="8"/>
      <c r="I13" s="8"/>
    </row>
    <row r="14" customFormat="false" ht="18.75" hidden="false" customHeight="true" outlineLevel="0" collapsed="false">
      <c r="A14" s="179" t="s">
        <v>7</v>
      </c>
      <c r="B14" s="179"/>
      <c r="C14" s="179"/>
      <c r="D14" s="179"/>
      <c r="E14" s="179"/>
      <c r="F14" s="179"/>
      <c r="G14" s="179"/>
      <c r="H14" s="179"/>
      <c r="I14" s="179"/>
    </row>
    <row r="15" customFormat="false" ht="15.75" hidden="false" customHeight="true" outlineLevel="0" collapsed="false">
      <c r="A15" s="10" t="s">
        <v>8</v>
      </c>
      <c r="B15" s="11" t="s">
        <v>9</v>
      </c>
      <c r="C15" s="11"/>
      <c r="D15" s="11"/>
      <c r="E15" s="11"/>
      <c r="F15" s="11"/>
      <c r="G15" s="11"/>
      <c r="H15" s="11"/>
      <c r="I15" s="264"/>
      <c r="L15" s="13"/>
    </row>
    <row r="16" customFormat="false" ht="15.75" hidden="false" customHeight="false" outlineLevel="0" collapsed="false">
      <c r="A16" s="14" t="s">
        <v>10</v>
      </c>
      <c r="B16" s="15" t="s">
        <v>11</v>
      </c>
      <c r="C16" s="15"/>
      <c r="D16" s="15"/>
      <c r="E16" s="15"/>
      <c r="F16" s="15"/>
      <c r="G16" s="15"/>
      <c r="H16" s="15"/>
      <c r="I16" s="265" t="s">
        <v>185</v>
      </c>
      <c r="L16" s="13"/>
    </row>
    <row r="17" customFormat="false" ht="48" hidden="false" customHeight="true" outlineLevel="0" collapsed="false">
      <c r="A17" s="17" t="s">
        <v>12</v>
      </c>
      <c r="B17" s="18" t="s">
        <v>13</v>
      </c>
      <c r="C17" s="18"/>
      <c r="D17" s="18"/>
      <c r="E17" s="18"/>
      <c r="F17" s="18"/>
      <c r="G17" s="18"/>
      <c r="H17" s="18"/>
      <c r="I17" s="266" t="s">
        <v>186</v>
      </c>
      <c r="L17" s="13"/>
    </row>
    <row r="18" customFormat="false" ht="18" hidden="false" customHeight="true" outlineLevel="0" collapsed="false">
      <c r="A18" s="20" t="s">
        <v>14</v>
      </c>
      <c r="B18" s="21" t="s">
        <v>15</v>
      </c>
      <c r="C18" s="21"/>
      <c r="D18" s="21"/>
      <c r="E18" s="21"/>
      <c r="F18" s="21"/>
      <c r="G18" s="21"/>
      <c r="H18" s="21"/>
      <c r="I18" s="267" t="n">
        <v>12</v>
      </c>
    </row>
    <row r="19" customFormat="false" ht="18" hidden="false" customHeight="true" outlineLevel="0" collapsed="false">
      <c r="A19" s="179" t="s">
        <v>16</v>
      </c>
      <c r="B19" s="179"/>
      <c r="C19" s="179"/>
      <c r="D19" s="179"/>
      <c r="E19" s="179"/>
      <c r="F19" s="179"/>
      <c r="G19" s="179"/>
      <c r="H19" s="179"/>
      <c r="I19" s="179"/>
    </row>
    <row r="20" customFormat="false" ht="15.75" hidden="false" customHeight="false" outlineLevel="0" collapsed="false">
      <c r="A20" s="23" t="s">
        <v>17</v>
      </c>
      <c r="B20" s="23"/>
      <c r="C20" s="23"/>
      <c r="D20" s="23"/>
      <c r="E20" s="24" t="s">
        <v>18</v>
      </c>
      <c r="F20" s="24"/>
      <c r="G20" s="25" t="s">
        <v>19</v>
      </c>
      <c r="H20" s="25"/>
      <c r="I20" s="25"/>
    </row>
    <row r="21" customFormat="false" ht="15" hidden="false" customHeight="true" outlineLevel="0" collapsed="false">
      <c r="A21" s="26" t="s">
        <v>20</v>
      </c>
      <c r="B21" s="26"/>
      <c r="C21" s="26"/>
      <c r="D21" s="26"/>
      <c r="E21" s="27" t="s">
        <v>21</v>
      </c>
      <c r="F21" s="27"/>
      <c r="G21" s="28" t="n">
        <v>1</v>
      </c>
      <c r="H21" s="28"/>
      <c r="I21" s="28"/>
    </row>
    <row r="22" customFormat="false" ht="30.75" hidden="false" customHeight="true" outlineLevel="0" collapsed="false">
      <c r="A22" s="268" t="s">
        <v>202</v>
      </c>
      <c r="B22" s="268"/>
      <c r="C22" s="268"/>
      <c r="D22" s="268"/>
      <c r="E22" s="27"/>
      <c r="F22" s="27"/>
      <c r="G22" s="28"/>
      <c r="H22" s="28"/>
      <c r="I22" s="28"/>
      <c r="L22" s="30"/>
    </row>
    <row r="23" customFormat="false" ht="15" hidden="false" customHeight="true" outlineLevel="0" collapsed="false">
      <c r="A23" s="31"/>
      <c r="B23" s="269"/>
      <c r="C23" s="269"/>
      <c r="D23" s="269"/>
      <c r="E23" s="269"/>
      <c r="F23" s="269"/>
      <c r="G23" s="269"/>
      <c r="H23" s="269"/>
      <c r="I23" s="269"/>
    </row>
    <row r="24" customFormat="false" ht="15.75" hidden="false" customHeight="false" outlineLevel="0" collapsed="false">
      <c r="A24" s="33" t="s">
        <v>22</v>
      </c>
      <c r="B24" s="33"/>
      <c r="C24" s="33"/>
      <c r="D24" s="33"/>
      <c r="E24" s="33"/>
      <c r="F24" s="33"/>
      <c r="G24" s="33"/>
      <c r="H24" s="33"/>
      <c r="I24" s="33"/>
    </row>
    <row r="25" customFormat="false" ht="15.75" hidden="false" customHeight="false" outlineLevel="0" collapsed="false">
      <c r="A25" s="34" t="s">
        <v>23</v>
      </c>
      <c r="B25" s="34"/>
      <c r="C25" s="34"/>
      <c r="D25" s="34"/>
      <c r="E25" s="34"/>
      <c r="F25" s="34"/>
      <c r="G25" s="34"/>
      <c r="H25" s="34"/>
      <c r="I25" s="34"/>
    </row>
    <row r="26" customFormat="false" ht="15.75" hidden="false" customHeight="false" outlineLevel="0" collapsed="false">
      <c r="A26" s="35" t="s">
        <v>24</v>
      </c>
      <c r="B26" s="35"/>
      <c r="C26" s="35"/>
      <c r="D26" s="35"/>
      <c r="E26" s="35"/>
      <c r="F26" s="35"/>
      <c r="G26" s="35"/>
      <c r="H26" s="35"/>
      <c r="I26" s="35"/>
    </row>
    <row r="27" customFormat="false" ht="15.75" hidden="false" customHeight="true" outlineLevel="0" collapsed="false">
      <c r="A27" s="14" t="n">
        <v>1</v>
      </c>
      <c r="B27" s="36" t="s">
        <v>25</v>
      </c>
      <c r="C27" s="36"/>
      <c r="D27" s="36"/>
      <c r="E27" s="36"/>
      <c r="F27" s="36"/>
      <c r="G27" s="36"/>
      <c r="H27" s="36"/>
      <c r="I27" s="266" t="s">
        <v>26</v>
      </c>
    </row>
    <row r="28" customFormat="false" ht="15.75" hidden="false" customHeight="true" outlineLevel="0" collapsed="false">
      <c r="A28" s="14" t="n">
        <v>2</v>
      </c>
      <c r="B28" s="38" t="s">
        <v>27</v>
      </c>
      <c r="C28" s="38"/>
      <c r="D28" s="38"/>
      <c r="E28" s="38"/>
      <c r="F28" s="38"/>
      <c r="G28" s="38"/>
      <c r="H28" s="38"/>
      <c r="I28" s="265" t="n">
        <f aca="false">Dados!B2</f>
        <v>1305.17</v>
      </c>
    </row>
    <row r="29" customFormat="false" ht="15.75" hidden="false" customHeight="true" outlineLevel="0" collapsed="false">
      <c r="A29" s="14" t="n">
        <v>3</v>
      </c>
      <c r="B29" s="38" t="s">
        <v>28</v>
      </c>
      <c r="C29" s="38"/>
      <c r="D29" s="38"/>
      <c r="E29" s="38"/>
      <c r="F29" s="38"/>
      <c r="G29" s="38"/>
      <c r="H29" s="38"/>
      <c r="I29" s="265" t="s">
        <v>188</v>
      </c>
    </row>
    <row r="30" customFormat="false" ht="15.75" hidden="false" customHeight="true" outlineLevel="0" collapsed="false">
      <c r="A30" s="40" t="n">
        <v>4</v>
      </c>
      <c r="B30" s="41" t="s">
        <v>29</v>
      </c>
      <c r="C30" s="41"/>
      <c r="D30" s="41"/>
      <c r="E30" s="41"/>
      <c r="F30" s="41"/>
      <c r="G30" s="41"/>
      <c r="H30" s="41"/>
      <c r="I30" s="270" t="n">
        <v>42005</v>
      </c>
    </row>
    <row r="31" customFormat="false" ht="17.25" hidden="false" customHeight="true" outlineLevel="0" collapsed="false">
      <c r="A31" s="40" t="n">
        <v>5</v>
      </c>
      <c r="B31" s="38" t="s">
        <v>30</v>
      </c>
      <c r="C31" s="38"/>
      <c r="D31" s="38"/>
      <c r="E31" s="38"/>
      <c r="F31" s="38"/>
      <c r="G31" s="38"/>
      <c r="H31" s="38"/>
      <c r="I31" s="270" t="n">
        <f aca="false">I28/220</f>
        <v>5.93259090909091</v>
      </c>
    </row>
    <row r="32" customFormat="false" ht="17.25" hidden="false" customHeight="true" outlineLevel="0" collapsed="false">
      <c r="A32" s="40" t="n">
        <v>6</v>
      </c>
      <c r="B32" s="38" t="s">
        <v>31</v>
      </c>
      <c r="C32" s="38"/>
      <c r="D32" s="38"/>
      <c r="E32" s="38"/>
      <c r="F32" s="38"/>
      <c r="G32" s="38"/>
      <c r="H32" s="38"/>
      <c r="I32" s="270" t="n">
        <f aca="false">I31*1.5</f>
        <v>8.89888636363636</v>
      </c>
    </row>
    <row r="33" customFormat="false" ht="16.5" hidden="false" customHeight="true" outlineLevel="0" collapsed="false">
      <c r="A33" s="20" t="n">
        <v>7</v>
      </c>
      <c r="B33" s="44" t="s">
        <v>32</v>
      </c>
      <c r="C33" s="44"/>
      <c r="D33" s="44"/>
      <c r="E33" s="44"/>
      <c r="F33" s="44"/>
      <c r="G33" s="44"/>
      <c r="H33" s="44"/>
      <c r="I33" s="267" t="n">
        <f aca="false">I31*0.2</f>
        <v>1.18651818181818</v>
      </c>
    </row>
    <row r="34" customFormat="false" ht="15.75" hidden="false" customHeight="false" outlineLevel="0" collapsed="false">
      <c r="A34" s="271"/>
      <c r="B34" s="271"/>
      <c r="C34" s="271"/>
      <c r="D34" s="271"/>
      <c r="E34" s="271"/>
      <c r="F34" s="271"/>
      <c r="G34" s="271"/>
      <c r="H34" s="271"/>
      <c r="I34" s="271"/>
    </row>
    <row r="35" customFormat="false" ht="19.5" hidden="false" customHeight="true" outlineLevel="0" collapsed="false">
      <c r="A35" s="47" t="s">
        <v>33</v>
      </c>
      <c r="B35" s="47"/>
      <c r="C35" s="47"/>
      <c r="D35" s="47"/>
      <c r="E35" s="47"/>
      <c r="F35" s="47"/>
      <c r="G35" s="47"/>
      <c r="H35" s="47"/>
      <c r="I35" s="47"/>
    </row>
    <row r="36" customFormat="false" ht="15.75" hidden="false" customHeight="false" outlineLevel="0" collapsed="false">
      <c r="A36" s="48" t="n">
        <v>1</v>
      </c>
      <c r="B36" s="49" t="s">
        <v>34</v>
      </c>
      <c r="C36" s="49"/>
      <c r="D36" s="49"/>
      <c r="E36" s="49"/>
      <c r="F36" s="49"/>
      <c r="G36" s="49"/>
      <c r="H36" s="49"/>
      <c r="I36" s="272" t="s">
        <v>35</v>
      </c>
      <c r="L36" s="51"/>
    </row>
    <row r="37" customFormat="false" ht="15.75" hidden="false" customHeight="false" outlineLevel="0" collapsed="false">
      <c r="A37" s="17" t="s">
        <v>8</v>
      </c>
      <c r="B37" s="52" t="s">
        <v>36</v>
      </c>
      <c r="C37" s="52"/>
      <c r="D37" s="52"/>
      <c r="E37" s="52"/>
      <c r="F37" s="52"/>
      <c r="G37" s="52"/>
      <c r="H37" s="52"/>
      <c r="I37" s="273" t="n">
        <f aca="false">ROUND(I31*215*2,2)</f>
        <v>2551.01</v>
      </c>
      <c r="L37" s="51"/>
    </row>
    <row r="38" customFormat="false" ht="15.75" hidden="false" customHeight="false" outlineLevel="0" collapsed="false">
      <c r="A38" s="17" t="s">
        <v>10</v>
      </c>
      <c r="B38" s="74" t="s">
        <v>203</v>
      </c>
      <c r="C38" s="74"/>
      <c r="D38" s="74"/>
      <c r="E38" s="74"/>
      <c r="F38" s="74"/>
      <c r="G38" s="74"/>
      <c r="H38" s="74"/>
      <c r="I38" s="273" t="n">
        <f aca="false">ROUND(I32*21*2,2)</f>
        <v>373.75</v>
      </c>
      <c r="L38" s="55"/>
    </row>
    <row r="39" customFormat="false" ht="30" hidden="false" customHeight="true" outlineLevel="0" collapsed="false">
      <c r="A39" s="17" t="s">
        <v>12</v>
      </c>
      <c r="B39" s="54" t="s">
        <v>204</v>
      </c>
      <c r="C39" s="54"/>
      <c r="D39" s="54"/>
      <c r="E39" s="54"/>
      <c r="F39" s="54"/>
      <c r="G39" s="54"/>
      <c r="H39" s="54"/>
      <c r="I39" s="273" t="n">
        <f aca="false">ROUND(I33*1*(60/52.5)*21,2)</f>
        <v>28.48</v>
      </c>
      <c r="L39" s="55"/>
    </row>
    <row r="40" customFormat="false" ht="30" hidden="false" customHeight="true" outlineLevel="0" collapsed="false">
      <c r="A40" s="17" t="s">
        <v>14</v>
      </c>
      <c r="B40" s="54" t="s">
        <v>205</v>
      </c>
      <c r="C40" s="54"/>
      <c r="D40" s="54"/>
      <c r="E40" s="54"/>
      <c r="F40" s="54"/>
      <c r="G40" s="54"/>
      <c r="H40" s="54"/>
      <c r="I40" s="273" t="n">
        <f aca="false">ROUND(I32*21*(60/52.5-1),2)</f>
        <v>26.7</v>
      </c>
      <c r="L40" s="55"/>
    </row>
    <row r="41" customFormat="false" ht="17.25" hidden="false" customHeight="true" outlineLevel="0" collapsed="false">
      <c r="A41" s="274" t="s">
        <v>40</v>
      </c>
      <c r="B41" s="58" t="s">
        <v>43</v>
      </c>
      <c r="C41" s="58"/>
      <c r="D41" s="58"/>
      <c r="E41" s="58"/>
      <c r="F41" s="58"/>
      <c r="G41" s="58"/>
      <c r="H41" s="58"/>
      <c r="I41" s="273" t="n">
        <f aca="false">SUM(I38:I40)*0.2</f>
        <v>85.786</v>
      </c>
      <c r="K41" s="59"/>
    </row>
    <row r="42" customFormat="false" ht="15.75" hidden="false" customHeight="false" outlineLevel="0" collapsed="false">
      <c r="A42" s="60" t="s">
        <v>44</v>
      </c>
      <c r="B42" s="60"/>
      <c r="C42" s="60"/>
      <c r="D42" s="60"/>
      <c r="E42" s="60"/>
      <c r="F42" s="60"/>
      <c r="G42" s="60"/>
      <c r="H42" s="60"/>
      <c r="I42" s="275" t="n">
        <f aca="false">SUM(I37:I41)</f>
        <v>3065.726</v>
      </c>
    </row>
    <row r="43" customFormat="false" ht="21" hidden="false" customHeight="true" outlineLevel="0" collapsed="false">
      <c r="A43" s="47" t="s">
        <v>45</v>
      </c>
      <c r="B43" s="47"/>
      <c r="C43" s="47"/>
      <c r="D43" s="47"/>
      <c r="E43" s="47"/>
      <c r="F43" s="47"/>
      <c r="G43" s="47"/>
      <c r="H43" s="47"/>
      <c r="I43" s="47"/>
    </row>
    <row r="44" customFormat="false" ht="15.75" hidden="false" customHeight="false" outlineLevel="0" collapsed="false">
      <c r="A44" s="62" t="n">
        <v>2</v>
      </c>
      <c r="B44" s="63" t="s">
        <v>46</v>
      </c>
      <c r="C44" s="63"/>
      <c r="D44" s="63"/>
      <c r="E44" s="63"/>
      <c r="F44" s="63"/>
      <c r="G44" s="63"/>
      <c r="H44" s="63"/>
      <c r="I44" s="272" t="s">
        <v>35</v>
      </c>
    </row>
    <row r="45" customFormat="false" ht="24.75" hidden="false" customHeight="true" outlineLevel="0" collapsed="false">
      <c r="A45" s="64" t="s">
        <v>8</v>
      </c>
      <c r="B45" s="54" t="s">
        <v>206</v>
      </c>
      <c r="C45" s="54"/>
      <c r="D45" s="54"/>
      <c r="E45" s="54"/>
      <c r="F45" s="54"/>
      <c r="G45" s="54"/>
      <c r="H45" s="54"/>
      <c r="I45" s="276" t="n">
        <f aca="false">ROUND((2*H47*H46*26)-(0.06*I37),2)</f>
        <v>158.94</v>
      </c>
      <c r="L45" s="66"/>
    </row>
    <row r="46" customFormat="false" ht="30.75" hidden="false" customHeight="true" outlineLevel="0" collapsed="false">
      <c r="A46" s="64"/>
      <c r="B46" s="277" t="s">
        <v>192</v>
      </c>
      <c r="C46" s="277"/>
      <c r="D46" s="277"/>
      <c r="E46" s="277"/>
      <c r="F46" s="277"/>
      <c r="G46" s="277"/>
      <c r="H46" s="278" t="n">
        <f aca="false">Dados!B9</f>
        <v>3</v>
      </c>
      <c r="I46" s="279"/>
    </row>
    <row r="47" customFormat="false" ht="17.25" hidden="false" customHeight="true" outlineLevel="0" collapsed="false">
      <c r="A47" s="64"/>
      <c r="B47" s="69" t="s">
        <v>49</v>
      </c>
      <c r="C47" s="69"/>
      <c r="D47" s="69"/>
      <c r="E47" s="69"/>
      <c r="F47" s="69"/>
      <c r="G47" s="69"/>
      <c r="H47" s="70" t="n">
        <v>2</v>
      </c>
      <c r="I47" s="279"/>
    </row>
    <row r="48" customFormat="false" ht="21" hidden="false" customHeight="true" outlineLevel="0" collapsed="false">
      <c r="A48" s="64" t="s">
        <v>10</v>
      </c>
      <c r="B48" s="54" t="s">
        <v>50</v>
      </c>
      <c r="C48" s="54"/>
      <c r="D48" s="54"/>
      <c r="E48" s="54"/>
      <c r="F48" s="54"/>
      <c r="G48" s="54"/>
      <c r="H48" s="54"/>
      <c r="I48" s="279" t="n">
        <f aca="false">ROUND((2*21*H49)*(1-0.18),2)</f>
        <v>576.18</v>
      </c>
    </row>
    <row r="49" customFormat="false" ht="19.5" hidden="false" customHeight="true" outlineLevel="0" collapsed="false">
      <c r="A49" s="64"/>
      <c r="B49" s="69" t="s">
        <v>51</v>
      </c>
      <c r="C49" s="69"/>
      <c r="D49" s="69"/>
      <c r="E49" s="69"/>
      <c r="F49" s="69"/>
      <c r="G49" s="69"/>
      <c r="H49" s="280" t="n">
        <f aca="false">Dados!B3</f>
        <v>16.73</v>
      </c>
      <c r="I49" s="281"/>
    </row>
    <row r="50" customFormat="false" ht="32.25" hidden="false" customHeight="true" outlineLevel="0" collapsed="false">
      <c r="A50" s="17" t="s">
        <v>12</v>
      </c>
      <c r="B50" s="58" t="s">
        <v>207</v>
      </c>
      <c r="C50" s="58"/>
      <c r="D50" s="58"/>
      <c r="E50" s="58"/>
      <c r="F50" s="58"/>
      <c r="G50" s="58"/>
      <c r="H50" s="58"/>
      <c r="I50" s="279" t="n">
        <f aca="false">ROUND(Dados!B5*2,2)</f>
        <v>30.04</v>
      </c>
    </row>
    <row r="51" customFormat="false" ht="15.75" hidden="false" customHeight="false" outlineLevel="0" collapsed="false">
      <c r="A51" s="60" t="s">
        <v>53</v>
      </c>
      <c r="B51" s="60"/>
      <c r="C51" s="60"/>
      <c r="D51" s="60"/>
      <c r="E51" s="60"/>
      <c r="F51" s="60"/>
      <c r="G51" s="60"/>
      <c r="H51" s="60"/>
      <c r="I51" s="275" t="n">
        <f aca="false">SUM(I45:I50)</f>
        <v>765.16</v>
      </c>
    </row>
    <row r="52" customFormat="false" ht="15.75" hidden="false" customHeight="false" outlineLevel="0" collapsed="false">
      <c r="A52" s="73" t="s">
        <v>54</v>
      </c>
      <c r="B52" s="73"/>
      <c r="C52" s="73"/>
      <c r="D52" s="73"/>
      <c r="E52" s="73"/>
      <c r="F52" s="73"/>
      <c r="G52" s="73"/>
      <c r="H52" s="73"/>
      <c r="I52" s="73"/>
    </row>
    <row r="53" customFormat="false" ht="21.75" hidden="false" customHeight="true" outlineLevel="0" collapsed="false">
      <c r="A53" s="47" t="s">
        <v>55</v>
      </c>
      <c r="B53" s="47"/>
      <c r="C53" s="47"/>
      <c r="D53" s="47"/>
      <c r="E53" s="47"/>
      <c r="F53" s="47"/>
      <c r="G53" s="47"/>
      <c r="H53" s="47"/>
      <c r="I53" s="47"/>
    </row>
    <row r="54" customFormat="false" ht="15.75" hidden="false" customHeight="false" outlineLevel="0" collapsed="false">
      <c r="A54" s="62" t="n">
        <v>3</v>
      </c>
      <c r="B54" s="63" t="s">
        <v>56</v>
      </c>
      <c r="C54" s="63"/>
      <c r="D54" s="63"/>
      <c r="E54" s="63"/>
      <c r="F54" s="63"/>
      <c r="G54" s="63"/>
      <c r="H54" s="63"/>
      <c r="I54" s="272" t="s">
        <v>35</v>
      </c>
    </row>
    <row r="55" customFormat="false" ht="15.75" hidden="false" customHeight="false" outlineLevel="0" collapsed="false">
      <c r="A55" s="64" t="s">
        <v>8</v>
      </c>
      <c r="B55" s="74" t="s">
        <v>208</v>
      </c>
      <c r="C55" s="74"/>
      <c r="D55" s="74"/>
      <c r="E55" s="74"/>
      <c r="F55" s="74"/>
      <c r="G55" s="74"/>
      <c r="H55" s="74"/>
      <c r="I55" s="282" t="n">
        <f aca="false">Dados!D6*2</f>
        <v>137.67625</v>
      </c>
      <c r="J55" s="76"/>
      <c r="K55" s="77"/>
    </row>
    <row r="56" customFormat="false" ht="15.75" hidden="false" customHeight="false" outlineLevel="0" collapsed="false">
      <c r="A56" s="60" t="s">
        <v>58</v>
      </c>
      <c r="B56" s="60"/>
      <c r="C56" s="60"/>
      <c r="D56" s="60"/>
      <c r="E56" s="60"/>
      <c r="F56" s="60"/>
      <c r="G56" s="60"/>
      <c r="H56" s="60"/>
      <c r="I56" s="283" t="n">
        <f aca="false">SUM(I55:I55)</f>
        <v>137.67625</v>
      </c>
    </row>
    <row r="57" customFormat="false" ht="23.25" hidden="false" customHeight="true" outlineLevel="0" collapsed="false">
      <c r="A57" s="47" t="s">
        <v>59</v>
      </c>
      <c r="B57" s="47"/>
      <c r="C57" s="47"/>
      <c r="D57" s="47"/>
      <c r="E57" s="47"/>
      <c r="F57" s="47"/>
      <c r="G57" s="47"/>
      <c r="H57" s="47"/>
      <c r="I57" s="47"/>
    </row>
    <row r="58" customFormat="false" ht="15.75" hidden="false" customHeight="false" outlineLevel="0" collapsed="false">
      <c r="A58" s="79" t="s">
        <v>60</v>
      </c>
      <c r="B58" s="79"/>
      <c r="C58" s="79"/>
      <c r="D58" s="79"/>
      <c r="E58" s="79"/>
      <c r="F58" s="79"/>
      <c r="G58" s="79"/>
      <c r="H58" s="79"/>
      <c r="I58" s="79"/>
    </row>
    <row r="59" customFormat="false" ht="15.75" hidden="false" customHeight="false" outlineLevel="0" collapsed="false">
      <c r="A59" s="62" t="s">
        <v>61</v>
      </c>
      <c r="B59" s="80" t="s">
        <v>62</v>
      </c>
      <c r="C59" s="80"/>
      <c r="D59" s="80"/>
      <c r="E59" s="80"/>
      <c r="F59" s="80"/>
      <c r="G59" s="80"/>
      <c r="H59" s="81" t="s">
        <v>63</v>
      </c>
      <c r="I59" s="272" t="s">
        <v>35</v>
      </c>
    </row>
    <row r="60" customFormat="false" ht="15.75" hidden="false" customHeight="false" outlineLevel="0" collapsed="false">
      <c r="A60" s="82" t="s">
        <v>8</v>
      </c>
      <c r="B60" s="83" t="s">
        <v>64</v>
      </c>
      <c r="C60" s="83"/>
      <c r="D60" s="83"/>
      <c r="E60" s="83"/>
      <c r="F60" s="83"/>
      <c r="G60" s="83"/>
      <c r="H60" s="84" t="n">
        <v>0.2</v>
      </c>
      <c r="I60" s="273" t="n">
        <f aca="false">ROUND(($I$42-$I$38)*H60,2)</f>
        <v>538.4</v>
      </c>
      <c r="K60" s="66"/>
    </row>
    <row r="61" customFormat="false" ht="15.75" hidden="false" customHeight="false" outlineLevel="0" collapsed="false">
      <c r="A61" s="82" t="s">
        <v>10</v>
      </c>
      <c r="B61" s="83" t="s">
        <v>65</v>
      </c>
      <c r="C61" s="83"/>
      <c r="D61" s="83"/>
      <c r="E61" s="83"/>
      <c r="F61" s="83"/>
      <c r="G61" s="83"/>
      <c r="H61" s="85" t="n">
        <v>0.015</v>
      </c>
      <c r="I61" s="273" t="n">
        <f aca="false">ROUND(($I$42-$I$38)*H61,2)</f>
        <v>40.38</v>
      </c>
      <c r="K61" s="66"/>
    </row>
    <row r="62" customFormat="false" ht="15.75" hidden="false" customHeight="false" outlineLevel="0" collapsed="false">
      <c r="A62" s="82" t="s">
        <v>12</v>
      </c>
      <c r="B62" s="83" t="s">
        <v>66</v>
      </c>
      <c r="C62" s="83"/>
      <c r="D62" s="83"/>
      <c r="E62" s="83"/>
      <c r="F62" s="83"/>
      <c r="G62" s="83"/>
      <c r="H62" s="84" t="n">
        <v>0.01</v>
      </c>
      <c r="I62" s="273" t="n">
        <f aca="false">ROUND(($I$42-$I$38)*H62,2)</f>
        <v>26.92</v>
      </c>
      <c r="K62" s="66"/>
    </row>
    <row r="63" customFormat="false" ht="15.75" hidden="false" customHeight="false" outlineLevel="0" collapsed="false">
      <c r="A63" s="82" t="s">
        <v>14</v>
      </c>
      <c r="B63" s="83" t="s">
        <v>67</v>
      </c>
      <c r="C63" s="83"/>
      <c r="D63" s="83"/>
      <c r="E63" s="83"/>
      <c r="F63" s="83"/>
      <c r="G63" s="83"/>
      <c r="H63" s="86" t="n">
        <v>0.002</v>
      </c>
      <c r="I63" s="273" t="n">
        <f aca="false">ROUND(($I$42-$I$38)*H63,2)</f>
        <v>5.38</v>
      </c>
      <c r="K63" s="66"/>
    </row>
    <row r="64" customFormat="false" ht="15.75" hidden="false" customHeight="false" outlineLevel="0" collapsed="false">
      <c r="A64" s="82" t="s">
        <v>40</v>
      </c>
      <c r="B64" s="83" t="s">
        <v>68</v>
      </c>
      <c r="C64" s="83"/>
      <c r="D64" s="83"/>
      <c r="E64" s="83"/>
      <c r="F64" s="83"/>
      <c r="G64" s="83"/>
      <c r="H64" s="86" t="n">
        <v>0.025</v>
      </c>
      <c r="I64" s="273" t="n">
        <f aca="false">ROUND(($I$42-$I$38)*H64,2)</f>
        <v>67.3</v>
      </c>
      <c r="K64" s="66"/>
    </row>
    <row r="65" customFormat="false" ht="15.75" hidden="false" customHeight="false" outlineLevel="0" collapsed="false">
      <c r="A65" s="82" t="s">
        <v>42</v>
      </c>
      <c r="B65" s="83" t="s">
        <v>69</v>
      </c>
      <c r="C65" s="83"/>
      <c r="D65" s="83"/>
      <c r="E65" s="83"/>
      <c r="F65" s="83"/>
      <c r="G65" s="83"/>
      <c r="H65" s="84" t="n">
        <v>0.08</v>
      </c>
      <c r="I65" s="273" t="n">
        <f aca="false">ROUND(($I$42-$I$38)*H65,2)</f>
        <v>215.36</v>
      </c>
      <c r="K65" s="66"/>
    </row>
    <row r="66" customFormat="false" ht="15.75" hidden="false" customHeight="false" outlineLevel="0" collapsed="false">
      <c r="A66" s="82" t="s">
        <v>70</v>
      </c>
      <c r="B66" s="87" t="s">
        <v>71</v>
      </c>
      <c r="C66" s="87"/>
      <c r="D66" s="87"/>
      <c r="E66" s="87"/>
      <c r="F66" s="88" t="s">
        <v>72</v>
      </c>
      <c r="G66" s="89" t="s">
        <v>196</v>
      </c>
      <c r="H66" s="86" t="n">
        <v>0.015</v>
      </c>
      <c r="I66" s="273" t="n">
        <f aca="false">ROUND(($I$42-$I$38)*H66,2)</f>
        <v>40.38</v>
      </c>
      <c r="K66" s="66"/>
    </row>
    <row r="67" customFormat="false" ht="15.75" hidden="false" customHeight="false" outlineLevel="0" collapsed="false">
      <c r="A67" s="82" t="s">
        <v>74</v>
      </c>
      <c r="B67" s="83" t="s">
        <v>75</v>
      </c>
      <c r="C67" s="83"/>
      <c r="D67" s="83"/>
      <c r="E67" s="83"/>
      <c r="F67" s="83"/>
      <c r="G67" s="83"/>
      <c r="H67" s="86" t="n">
        <v>0.006</v>
      </c>
      <c r="I67" s="273" t="n">
        <f aca="false">ROUND(($I$42-$I$38)*H67,2)</f>
        <v>16.15</v>
      </c>
      <c r="K67" s="66"/>
    </row>
    <row r="68" customFormat="false" ht="15.75" hidden="false" customHeight="false" outlineLevel="0" collapsed="false">
      <c r="A68" s="90" t="s">
        <v>76</v>
      </c>
      <c r="B68" s="90"/>
      <c r="C68" s="90"/>
      <c r="D68" s="90"/>
      <c r="E68" s="90"/>
      <c r="F68" s="90"/>
      <c r="G68" s="90"/>
      <c r="H68" s="91" t="n">
        <f aca="false">SUM(H60:H67)</f>
        <v>0.353</v>
      </c>
      <c r="I68" s="284" t="n">
        <f aca="false">SUM(I60:I67)</f>
        <v>950.27</v>
      </c>
      <c r="K68" s="66"/>
    </row>
    <row r="69" customFormat="false" ht="15.75" hidden="false" customHeight="false" outlineLevel="0" collapsed="false">
      <c r="A69" s="93" t="s">
        <v>77</v>
      </c>
      <c r="B69" s="93"/>
      <c r="C69" s="93"/>
      <c r="D69" s="93"/>
      <c r="E69" s="93"/>
      <c r="F69" s="93"/>
      <c r="G69" s="93"/>
      <c r="H69" s="93"/>
      <c r="I69" s="93"/>
    </row>
    <row r="70" customFormat="false" ht="15.75" hidden="false" customHeight="false" outlineLevel="0" collapsed="false">
      <c r="A70" s="94" t="s">
        <v>78</v>
      </c>
      <c r="B70" s="94"/>
      <c r="C70" s="94"/>
      <c r="D70" s="94"/>
      <c r="E70" s="94"/>
      <c r="F70" s="94"/>
      <c r="G70" s="94"/>
      <c r="H70" s="94"/>
      <c r="I70" s="94"/>
    </row>
    <row r="71" customFormat="false" ht="19.5" hidden="false" customHeight="true" outlineLevel="0" collapsed="false">
      <c r="A71" s="79" t="s">
        <v>79</v>
      </c>
      <c r="B71" s="79"/>
      <c r="C71" s="79"/>
      <c r="D71" s="79"/>
      <c r="E71" s="79"/>
      <c r="F71" s="79"/>
      <c r="G71" s="79"/>
      <c r="H71" s="79"/>
      <c r="I71" s="79"/>
    </row>
    <row r="72" customFormat="false" ht="15.75" hidden="false" customHeight="false" outlineLevel="0" collapsed="false">
      <c r="A72" s="62" t="s">
        <v>80</v>
      </c>
      <c r="B72" s="81" t="s">
        <v>81</v>
      </c>
      <c r="C72" s="81"/>
      <c r="D72" s="81"/>
      <c r="E72" s="81"/>
      <c r="F72" s="81"/>
      <c r="G72" s="81"/>
      <c r="H72" s="81"/>
      <c r="I72" s="272" t="s">
        <v>35</v>
      </c>
    </row>
    <row r="73" customFormat="false" ht="33" hidden="false" customHeight="true" outlineLevel="0" collapsed="false">
      <c r="A73" s="17" t="s">
        <v>8</v>
      </c>
      <c r="B73" s="95" t="s">
        <v>82</v>
      </c>
      <c r="C73" s="95"/>
      <c r="D73" s="95"/>
      <c r="E73" s="95"/>
      <c r="F73" s="95"/>
      <c r="G73" s="95"/>
      <c r="H73" s="95"/>
      <c r="I73" s="285" t="n">
        <f aca="false">ROUND(I42/12,2)</f>
        <v>255.48</v>
      </c>
      <c r="K73" s="66"/>
    </row>
    <row r="74" customFormat="false" ht="17.25" hidden="false" customHeight="true" outlineLevel="0" collapsed="false">
      <c r="A74" s="97" t="s">
        <v>83</v>
      </c>
      <c r="B74" s="97"/>
      <c r="C74" s="97"/>
      <c r="D74" s="97"/>
      <c r="E74" s="97"/>
      <c r="F74" s="97"/>
      <c r="G74" s="97"/>
      <c r="H74" s="97"/>
      <c r="I74" s="273" t="n">
        <f aca="false">SUM(I73:I73)</f>
        <v>255.48</v>
      </c>
      <c r="K74" s="66"/>
    </row>
    <row r="75" customFormat="false" ht="16.5" hidden="false" customHeight="true" outlineLevel="0" collapsed="false">
      <c r="A75" s="17" t="s">
        <v>10</v>
      </c>
      <c r="B75" s="83" t="s">
        <v>84</v>
      </c>
      <c r="C75" s="83"/>
      <c r="D75" s="83"/>
      <c r="E75" s="83"/>
      <c r="F75" s="83"/>
      <c r="G75" s="83"/>
      <c r="H75" s="83"/>
      <c r="I75" s="273" t="n">
        <f aca="false">ROUND(I74*H68,2)</f>
        <v>90.18</v>
      </c>
      <c r="K75" s="66"/>
    </row>
    <row r="76" customFormat="false" ht="15.75" hidden="false" customHeight="false" outlineLevel="0" collapsed="false">
      <c r="A76" s="60" t="s">
        <v>76</v>
      </c>
      <c r="B76" s="60"/>
      <c r="C76" s="60"/>
      <c r="D76" s="60"/>
      <c r="E76" s="60"/>
      <c r="F76" s="60"/>
      <c r="G76" s="60"/>
      <c r="H76" s="60"/>
      <c r="I76" s="275" t="n">
        <f aca="false">SUM(I74:I75)</f>
        <v>345.66</v>
      </c>
      <c r="K76" s="66"/>
    </row>
    <row r="77" customFormat="false" ht="19.5" hidden="false" customHeight="true" outlineLevel="0" collapsed="false">
      <c r="A77" s="79" t="s">
        <v>85</v>
      </c>
      <c r="B77" s="79"/>
      <c r="C77" s="79"/>
      <c r="D77" s="79"/>
      <c r="E77" s="79"/>
      <c r="F77" s="79"/>
      <c r="G77" s="79"/>
      <c r="H77" s="79"/>
      <c r="I77" s="79"/>
    </row>
    <row r="78" customFormat="false" ht="15.75" hidden="false" customHeight="false" outlineLevel="0" collapsed="false">
      <c r="A78" s="62" t="s">
        <v>86</v>
      </c>
      <c r="B78" s="81" t="s">
        <v>87</v>
      </c>
      <c r="C78" s="81"/>
      <c r="D78" s="81"/>
      <c r="E78" s="81"/>
      <c r="F78" s="81"/>
      <c r="G78" s="81"/>
      <c r="H78" s="81"/>
      <c r="I78" s="272" t="s">
        <v>35</v>
      </c>
    </row>
    <row r="79" customFormat="false" ht="15.75" hidden="false" customHeight="false" outlineLevel="0" collapsed="false">
      <c r="A79" s="17" t="s">
        <v>8</v>
      </c>
      <c r="B79" s="52" t="s">
        <v>88</v>
      </c>
      <c r="C79" s="52"/>
      <c r="D79" s="52"/>
      <c r="E79" s="52"/>
      <c r="F79" s="52"/>
      <c r="G79" s="52"/>
      <c r="H79" s="52"/>
      <c r="I79" s="282" t="n">
        <f aca="false">ROUND((((I42+I42/3)*(4/12))/12)*0.02,2)</f>
        <v>2.27</v>
      </c>
    </row>
    <row r="80" customFormat="false" ht="15.75" hidden="false" customHeight="false" outlineLevel="0" collapsed="false">
      <c r="A80" s="17" t="s">
        <v>10</v>
      </c>
      <c r="B80" s="83" t="s">
        <v>89</v>
      </c>
      <c r="C80" s="83"/>
      <c r="D80" s="83"/>
      <c r="E80" s="83"/>
      <c r="F80" s="83"/>
      <c r="G80" s="83"/>
      <c r="H80" s="83"/>
      <c r="I80" s="282" t="n">
        <f aca="false">ROUND(I79*H68,2)</f>
        <v>0.8</v>
      </c>
    </row>
    <row r="81" customFormat="false" ht="15.75" hidden="false" customHeight="false" outlineLevel="0" collapsed="false">
      <c r="A81" s="60" t="s">
        <v>76</v>
      </c>
      <c r="B81" s="60"/>
      <c r="C81" s="60"/>
      <c r="D81" s="60"/>
      <c r="E81" s="60"/>
      <c r="F81" s="60"/>
      <c r="G81" s="60"/>
      <c r="H81" s="60"/>
      <c r="I81" s="275" t="n">
        <f aca="false">SUM(I79:I80)</f>
        <v>3.07</v>
      </c>
    </row>
    <row r="82" customFormat="false" ht="19.5" hidden="false" customHeight="true" outlineLevel="0" collapsed="false">
      <c r="A82" s="79" t="s">
        <v>90</v>
      </c>
      <c r="B82" s="79"/>
      <c r="C82" s="79"/>
      <c r="D82" s="79"/>
      <c r="E82" s="79"/>
      <c r="F82" s="79"/>
      <c r="G82" s="79"/>
      <c r="H82" s="79"/>
      <c r="I82" s="79"/>
    </row>
    <row r="83" customFormat="false" ht="15.75" hidden="false" customHeight="false" outlineLevel="0" collapsed="false">
      <c r="A83" s="62" t="s">
        <v>91</v>
      </c>
      <c r="B83" s="81" t="s">
        <v>92</v>
      </c>
      <c r="C83" s="81"/>
      <c r="D83" s="81"/>
      <c r="E83" s="81"/>
      <c r="F83" s="81"/>
      <c r="G83" s="81"/>
      <c r="H83" s="81"/>
      <c r="I83" s="272" t="s">
        <v>35</v>
      </c>
    </row>
    <row r="84" customFormat="false" ht="28.5" hidden="false" customHeight="true" outlineLevel="0" collapsed="false">
      <c r="A84" s="17" t="s">
        <v>8</v>
      </c>
      <c r="B84" s="99" t="s">
        <v>93</v>
      </c>
      <c r="C84" s="99"/>
      <c r="D84" s="99"/>
      <c r="E84" s="99"/>
      <c r="F84" s="99"/>
      <c r="G84" s="99"/>
      <c r="H84" s="99"/>
      <c r="I84" s="273" t="n">
        <f aca="false">ROUND((I42/12)*(30/30)*0.05,2)</f>
        <v>12.77</v>
      </c>
    </row>
    <row r="85" customFormat="false" ht="15.75" hidden="false" customHeight="true" outlineLevel="0" collapsed="false">
      <c r="A85" s="17" t="s">
        <v>10</v>
      </c>
      <c r="B85" s="83" t="s">
        <v>94</v>
      </c>
      <c r="C85" s="83"/>
      <c r="D85" s="83"/>
      <c r="E85" s="83"/>
      <c r="F85" s="83"/>
      <c r="G85" s="83"/>
      <c r="H85" s="83"/>
      <c r="I85" s="273" t="n">
        <f aca="false">ROUND(I84*H65,2)</f>
        <v>1.02</v>
      </c>
    </row>
    <row r="86" customFormat="false" ht="49.5" hidden="false" customHeight="true" outlineLevel="0" collapsed="false">
      <c r="A86" s="17" t="s">
        <v>12</v>
      </c>
      <c r="B86" s="95" t="s">
        <v>95</v>
      </c>
      <c r="C86" s="95"/>
      <c r="D86" s="95"/>
      <c r="E86" s="95"/>
      <c r="F86" s="95"/>
      <c r="G86" s="95"/>
      <c r="H86" s="95"/>
      <c r="I86" s="285" t="n">
        <f aca="false">ROUND(0.0024*I42,2)</f>
        <v>7.36</v>
      </c>
      <c r="K86" s="66"/>
    </row>
    <row r="87" customFormat="false" ht="30.75" hidden="false" customHeight="true" outlineLevel="0" collapsed="false">
      <c r="A87" s="100" t="s">
        <v>14</v>
      </c>
      <c r="B87" s="99" t="s">
        <v>96</v>
      </c>
      <c r="C87" s="99"/>
      <c r="D87" s="99"/>
      <c r="E87" s="99"/>
      <c r="F87" s="99"/>
      <c r="G87" s="99"/>
      <c r="H87" s="99"/>
      <c r="I87" s="207" t="n">
        <f aca="false">ROUND(((I42/30)*7)/12,2)/2</f>
        <v>29.805</v>
      </c>
      <c r="N87" s="101"/>
    </row>
    <row r="88" customFormat="false" ht="18" hidden="false" customHeight="true" outlineLevel="0" collapsed="false">
      <c r="A88" s="17" t="s">
        <v>40</v>
      </c>
      <c r="B88" s="83" t="s">
        <v>97</v>
      </c>
      <c r="C88" s="83"/>
      <c r="D88" s="83"/>
      <c r="E88" s="83"/>
      <c r="F88" s="83"/>
      <c r="G88" s="83"/>
      <c r="H88" s="83"/>
      <c r="I88" s="273" t="n">
        <f aca="false">ROUND(I87*H68,2)</f>
        <v>10.52</v>
      </c>
      <c r="J88" s="13"/>
      <c r="K88" s="13"/>
      <c r="L88" s="102"/>
    </row>
    <row r="89" customFormat="false" ht="48.75" hidden="false" customHeight="true" outlineLevel="0" collapsed="false">
      <c r="A89" s="17" t="s">
        <v>42</v>
      </c>
      <c r="B89" s="95" t="s">
        <v>98</v>
      </c>
      <c r="C89" s="95"/>
      <c r="D89" s="95"/>
      <c r="E89" s="95"/>
      <c r="F89" s="95"/>
      <c r="G89" s="95"/>
      <c r="H89" s="95"/>
      <c r="I89" s="285" t="n">
        <f aca="false">ROUND(0.0476*I42,2)</f>
        <v>145.93</v>
      </c>
      <c r="J89" s="13"/>
      <c r="K89" s="66"/>
      <c r="L89" s="13"/>
    </row>
    <row r="90" customFormat="false" ht="20.25" hidden="false" customHeight="true" outlineLevel="0" collapsed="false">
      <c r="A90" s="60" t="s">
        <v>76</v>
      </c>
      <c r="B90" s="60"/>
      <c r="C90" s="60"/>
      <c r="D90" s="60"/>
      <c r="E90" s="60"/>
      <c r="F90" s="60"/>
      <c r="G90" s="60"/>
      <c r="H90" s="60"/>
      <c r="I90" s="275" t="n">
        <f aca="false">SUM(I84:I89)</f>
        <v>207.405</v>
      </c>
    </row>
    <row r="91" customFormat="false" ht="20.25" hidden="false" customHeight="true" outlineLevel="0" collapsed="false">
      <c r="A91" s="79" t="s">
        <v>99</v>
      </c>
      <c r="B91" s="79"/>
      <c r="C91" s="79"/>
      <c r="D91" s="79"/>
      <c r="E91" s="79"/>
      <c r="F91" s="79"/>
      <c r="G91" s="79"/>
      <c r="H91" s="79"/>
      <c r="I91" s="79"/>
    </row>
    <row r="92" customFormat="false" ht="15.75" hidden="false" customHeight="false" outlineLevel="0" collapsed="false">
      <c r="A92" s="62" t="s">
        <v>100</v>
      </c>
      <c r="B92" s="81" t="s">
        <v>101</v>
      </c>
      <c r="C92" s="81"/>
      <c r="D92" s="81"/>
      <c r="E92" s="81"/>
      <c r="F92" s="81"/>
      <c r="G92" s="81"/>
      <c r="H92" s="81"/>
      <c r="I92" s="272" t="s">
        <v>35</v>
      </c>
    </row>
    <row r="93" customFormat="false" ht="49.5" hidden="false" customHeight="true" outlineLevel="0" collapsed="false">
      <c r="A93" s="17" t="s">
        <v>8</v>
      </c>
      <c r="B93" s="95" t="s">
        <v>102</v>
      </c>
      <c r="C93" s="95"/>
      <c r="D93" s="95"/>
      <c r="E93" s="95"/>
      <c r="F93" s="95"/>
      <c r="G93" s="95"/>
      <c r="H93" s="95"/>
      <c r="I93" s="285" t="n">
        <f aca="false">ROUND(0.121*I42,2)</f>
        <v>370.95</v>
      </c>
      <c r="K93" s="66"/>
    </row>
    <row r="94" customFormat="false" ht="17.25" hidden="false" customHeight="true" outlineLevel="0" collapsed="false">
      <c r="A94" s="17" t="s">
        <v>10</v>
      </c>
      <c r="B94" s="52" t="s">
        <v>103</v>
      </c>
      <c r="C94" s="52"/>
      <c r="D94" s="52"/>
      <c r="E94" s="52"/>
      <c r="F94" s="52"/>
      <c r="G94" s="52"/>
      <c r="H94" s="52"/>
      <c r="I94" s="273" t="n">
        <f aca="false">ROUND(((I42/30)*5)/12,2)</f>
        <v>42.58</v>
      </c>
    </row>
    <row r="95" customFormat="false" ht="16.5" hidden="false" customHeight="true" outlineLevel="0" collapsed="false">
      <c r="A95" s="17" t="s">
        <v>12</v>
      </c>
      <c r="B95" s="52" t="s">
        <v>104</v>
      </c>
      <c r="C95" s="52"/>
      <c r="D95" s="52"/>
      <c r="E95" s="52"/>
      <c r="F95" s="52"/>
      <c r="G95" s="52"/>
      <c r="H95" s="52"/>
      <c r="I95" s="273" t="n">
        <f aca="false">ROUND((((I42/30)*5)/12)*0.015,2)</f>
        <v>0.64</v>
      </c>
    </row>
    <row r="96" customFormat="false" ht="17.25" hidden="false" customHeight="true" outlineLevel="0" collapsed="false">
      <c r="A96" s="17" t="s">
        <v>14</v>
      </c>
      <c r="B96" s="52" t="s">
        <v>105</v>
      </c>
      <c r="C96" s="52"/>
      <c r="D96" s="52"/>
      <c r="E96" s="52"/>
      <c r="F96" s="52"/>
      <c r="G96" s="52"/>
      <c r="H96" s="52"/>
      <c r="I96" s="273" t="n">
        <f aca="false">ROUND(((I42/30)*2.96)/12,2)</f>
        <v>25.21</v>
      </c>
    </row>
    <row r="97" customFormat="false" ht="16.5" hidden="false" customHeight="true" outlineLevel="0" collapsed="false">
      <c r="A97" s="17" t="s">
        <v>40</v>
      </c>
      <c r="B97" s="52" t="s">
        <v>106</v>
      </c>
      <c r="C97" s="52"/>
      <c r="D97" s="52"/>
      <c r="E97" s="52"/>
      <c r="F97" s="52"/>
      <c r="G97" s="52"/>
      <c r="H97" s="52"/>
      <c r="I97" s="273" t="n">
        <f aca="false">ROUND((((I42/30)*15)/12)*0.0078,2)</f>
        <v>1</v>
      </c>
    </row>
    <row r="98" customFormat="false" ht="15.75" hidden="false" customHeight="false" outlineLevel="0" collapsed="false">
      <c r="A98" s="97" t="s">
        <v>83</v>
      </c>
      <c r="B98" s="97"/>
      <c r="C98" s="97"/>
      <c r="D98" s="97"/>
      <c r="E98" s="97"/>
      <c r="F98" s="97"/>
      <c r="G98" s="97"/>
      <c r="H98" s="97"/>
      <c r="I98" s="281" t="n">
        <f aca="false">SUM(I93:I97)</f>
        <v>440.38</v>
      </c>
      <c r="K98" s="66"/>
    </row>
    <row r="99" customFormat="false" ht="18" hidden="false" customHeight="true" outlineLevel="0" collapsed="false">
      <c r="A99" s="17" t="s">
        <v>70</v>
      </c>
      <c r="B99" s="83" t="s">
        <v>107</v>
      </c>
      <c r="C99" s="83"/>
      <c r="D99" s="83"/>
      <c r="E99" s="83"/>
      <c r="F99" s="83"/>
      <c r="G99" s="83"/>
      <c r="H99" s="83"/>
      <c r="I99" s="286" t="n">
        <f aca="false">ROUND(I98*H68,2)</f>
        <v>155.45</v>
      </c>
      <c r="K99" s="66"/>
    </row>
    <row r="100" customFormat="false" ht="18.75" hidden="false" customHeight="true" outlineLevel="0" collapsed="false">
      <c r="A100" s="60" t="s">
        <v>76</v>
      </c>
      <c r="B100" s="60"/>
      <c r="C100" s="60"/>
      <c r="D100" s="60"/>
      <c r="E100" s="60"/>
      <c r="F100" s="60"/>
      <c r="G100" s="60"/>
      <c r="H100" s="60"/>
      <c r="I100" s="275" t="n">
        <f aca="false">SUM(I98+I99)</f>
        <v>595.83</v>
      </c>
      <c r="K100" s="66"/>
    </row>
    <row r="101" customFormat="false" ht="18.75" hidden="false" customHeight="true" outlineLevel="0" collapsed="false">
      <c r="A101" s="104" t="s">
        <v>108</v>
      </c>
      <c r="B101" s="104"/>
      <c r="C101" s="104"/>
      <c r="D101" s="104"/>
      <c r="E101" s="104"/>
      <c r="F101" s="104"/>
      <c r="G101" s="104"/>
      <c r="H101" s="104"/>
      <c r="I101" s="104"/>
    </row>
    <row r="102" customFormat="false" ht="15.75" hidden="false" customHeight="false" outlineLevel="0" collapsed="false">
      <c r="A102" s="62" t="n">
        <v>4</v>
      </c>
      <c r="B102" s="81" t="s">
        <v>109</v>
      </c>
      <c r="C102" s="81"/>
      <c r="D102" s="81"/>
      <c r="E102" s="81"/>
      <c r="F102" s="81"/>
      <c r="G102" s="81"/>
      <c r="H102" s="81"/>
      <c r="I102" s="272" t="s">
        <v>35</v>
      </c>
    </row>
    <row r="103" customFormat="false" ht="15.75" hidden="false" customHeight="false" outlineLevel="0" collapsed="false">
      <c r="A103" s="17" t="s">
        <v>61</v>
      </c>
      <c r="B103" s="83" t="s">
        <v>62</v>
      </c>
      <c r="C103" s="83"/>
      <c r="D103" s="83"/>
      <c r="E103" s="83"/>
      <c r="F103" s="83"/>
      <c r="G103" s="83"/>
      <c r="H103" s="83"/>
      <c r="I103" s="282" t="n">
        <f aca="false">I68</f>
        <v>950.27</v>
      </c>
    </row>
    <row r="104" customFormat="false" ht="15.75" hidden="false" customHeight="false" outlineLevel="0" collapsed="false">
      <c r="A104" s="17" t="s">
        <v>80</v>
      </c>
      <c r="B104" s="83" t="s">
        <v>110</v>
      </c>
      <c r="C104" s="83"/>
      <c r="D104" s="83"/>
      <c r="E104" s="83"/>
      <c r="F104" s="83"/>
      <c r="G104" s="83"/>
      <c r="H104" s="83"/>
      <c r="I104" s="282" t="n">
        <f aca="false">I76</f>
        <v>345.66</v>
      </c>
    </row>
    <row r="105" customFormat="false" ht="15.75" hidden="false" customHeight="false" outlineLevel="0" collapsed="false">
      <c r="A105" s="17" t="s">
        <v>86</v>
      </c>
      <c r="B105" s="83" t="s">
        <v>87</v>
      </c>
      <c r="C105" s="83"/>
      <c r="D105" s="83"/>
      <c r="E105" s="83"/>
      <c r="F105" s="83"/>
      <c r="G105" s="83"/>
      <c r="H105" s="83"/>
      <c r="I105" s="282" t="n">
        <f aca="false">I81</f>
        <v>3.07</v>
      </c>
    </row>
    <row r="106" customFormat="false" ht="15.75" hidden="false" customHeight="false" outlineLevel="0" collapsed="false">
      <c r="A106" s="17" t="s">
        <v>91</v>
      </c>
      <c r="B106" s="83" t="s">
        <v>111</v>
      </c>
      <c r="C106" s="83"/>
      <c r="D106" s="83"/>
      <c r="E106" s="83"/>
      <c r="F106" s="83"/>
      <c r="G106" s="83"/>
      <c r="H106" s="83"/>
      <c r="I106" s="282" t="n">
        <f aca="false">I90</f>
        <v>207.405</v>
      </c>
    </row>
    <row r="107" customFormat="false" ht="15.75" hidden="false" customHeight="false" outlineLevel="0" collapsed="false">
      <c r="A107" s="17" t="s">
        <v>100</v>
      </c>
      <c r="B107" s="83" t="s">
        <v>112</v>
      </c>
      <c r="C107" s="83"/>
      <c r="D107" s="83"/>
      <c r="E107" s="83"/>
      <c r="F107" s="83"/>
      <c r="G107" s="83"/>
      <c r="H107" s="83"/>
      <c r="I107" s="282" t="n">
        <f aca="false">I100</f>
        <v>595.83</v>
      </c>
    </row>
    <row r="108" customFormat="false" ht="20.25" hidden="false" customHeight="true" outlineLevel="0" collapsed="false">
      <c r="A108" s="60" t="s">
        <v>76</v>
      </c>
      <c r="B108" s="60"/>
      <c r="C108" s="60"/>
      <c r="D108" s="60"/>
      <c r="E108" s="60"/>
      <c r="F108" s="60"/>
      <c r="G108" s="60"/>
      <c r="H108" s="60"/>
      <c r="I108" s="275" t="n">
        <f aca="false">SUM(I103:I107)</f>
        <v>2102.235</v>
      </c>
      <c r="K108" s="106"/>
    </row>
    <row r="109" customFormat="false" ht="32.25" hidden="false" customHeight="true" outlineLevel="0" collapsed="false">
      <c r="A109" s="107" t="s">
        <v>113</v>
      </c>
      <c r="B109" s="107"/>
      <c r="C109" s="107"/>
      <c r="D109" s="107"/>
      <c r="E109" s="107"/>
      <c r="F109" s="107"/>
      <c r="G109" s="107"/>
      <c r="H109" s="107"/>
      <c r="I109" s="107"/>
    </row>
    <row r="110" customFormat="false" ht="15.75" hidden="false" customHeight="false" outlineLevel="0" collapsed="false">
      <c r="A110" s="62" t="n">
        <v>5</v>
      </c>
      <c r="B110" s="63" t="s">
        <v>114</v>
      </c>
      <c r="C110" s="63"/>
      <c r="D110" s="63"/>
      <c r="E110" s="63"/>
      <c r="F110" s="63"/>
      <c r="G110" s="63"/>
      <c r="H110" s="108" t="s">
        <v>63</v>
      </c>
      <c r="I110" s="272" t="s">
        <v>35</v>
      </c>
    </row>
    <row r="111" customFormat="false" ht="45.75" hidden="false" customHeight="true" outlineLevel="0" collapsed="false">
      <c r="A111" s="109" t="s">
        <v>115</v>
      </c>
      <c r="B111" s="109"/>
      <c r="C111" s="109"/>
      <c r="D111" s="109"/>
      <c r="E111" s="109"/>
      <c r="F111" s="109"/>
      <c r="G111" s="109"/>
      <c r="H111" s="110" t="n">
        <v>0</v>
      </c>
      <c r="I111" s="287" t="n">
        <f aca="false">(I42+I51+I56+I108)</f>
        <v>6070.79725</v>
      </c>
    </row>
    <row r="112" customFormat="false" ht="15.75" hidden="false" customHeight="false" outlineLevel="0" collapsed="false">
      <c r="A112" s="17" t="s">
        <v>8</v>
      </c>
      <c r="B112" s="83" t="s">
        <v>116</v>
      </c>
      <c r="C112" s="83"/>
      <c r="D112" s="83"/>
      <c r="E112" s="83"/>
      <c r="F112" s="83"/>
      <c r="G112" s="83"/>
      <c r="H112" s="112" t="n">
        <f aca="false">'Alegrete 1.1'!H110</f>
        <v>0.1207</v>
      </c>
      <c r="I112" s="273" t="n">
        <f aca="false">ROUND(I111*H112,2)</f>
        <v>732.75</v>
      </c>
      <c r="J112" s="113"/>
    </row>
    <row r="113" customFormat="false" ht="47.25" hidden="false" customHeight="true" outlineLevel="0" collapsed="false">
      <c r="A113" s="109" t="s">
        <v>117</v>
      </c>
      <c r="B113" s="109"/>
      <c r="C113" s="109"/>
      <c r="D113" s="109"/>
      <c r="E113" s="109"/>
      <c r="F113" s="109"/>
      <c r="G113" s="109"/>
      <c r="H113" s="114" t="n">
        <v>0</v>
      </c>
      <c r="I113" s="288" t="n">
        <f aca="false">I111+I112</f>
        <v>6803.54725</v>
      </c>
      <c r="J113" s="113"/>
    </row>
    <row r="114" customFormat="false" ht="15.75" hidden="false" customHeight="false" outlineLevel="0" collapsed="false">
      <c r="A114" s="17" t="s">
        <v>10</v>
      </c>
      <c r="B114" s="83" t="s">
        <v>118</v>
      </c>
      <c r="C114" s="83"/>
      <c r="D114" s="83"/>
      <c r="E114" s="83"/>
      <c r="F114" s="83"/>
      <c r="G114" s="83"/>
      <c r="H114" s="112" t="n">
        <f aca="false">'Alegrete 1.1'!H112</f>
        <v>0.0818</v>
      </c>
      <c r="I114" s="273" t="n">
        <f aca="false">ROUND(I113*H114,2)</f>
        <v>556.53</v>
      </c>
      <c r="J114" s="116"/>
    </row>
    <row r="115" customFormat="false" ht="47.25" hidden="false" customHeight="true" outlineLevel="0" collapsed="false">
      <c r="A115" s="109" t="s">
        <v>119</v>
      </c>
      <c r="B115" s="109"/>
      <c r="C115" s="109"/>
      <c r="D115" s="109"/>
      <c r="E115" s="109"/>
      <c r="F115" s="109"/>
      <c r="G115" s="109"/>
      <c r="H115" s="117" t="n">
        <v>0</v>
      </c>
      <c r="I115" s="289" t="n">
        <f aca="false">I113+I114</f>
        <v>7360.07725</v>
      </c>
      <c r="J115" s="116"/>
    </row>
    <row r="116" customFormat="false" ht="15.75" hidden="false" customHeight="false" outlineLevel="0" collapsed="false">
      <c r="A116" s="17" t="s">
        <v>12</v>
      </c>
      <c r="B116" s="83" t="s">
        <v>120</v>
      </c>
      <c r="C116" s="83"/>
      <c r="D116" s="83"/>
      <c r="E116" s="83"/>
      <c r="F116" s="83"/>
      <c r="G116" s="83"/>
      <c r="H116" s="119" t="s">
        <v>198</v>
      </c>
      <c r="I116" s="290" t="s">
        <v>198</v>
      </c>
      <c r="J116" s="116"/>
    </row>
    <row r="117" customFormat="false" ht="15.75" hidden="false" customHeight="false" outlineLevel="0" collapsed="false">
      <c r="A117" s="17"/>
      <c r="B117" s="83" t="s">
        <v>121</v>
      </c>
      <c r="C117" s="83"/>
      <c r="D117" s="83"/>
      <c r="E117" s="83"/>
      <c r="F117" s="83"/>
      <c r="G117" s="83"/>
      <c r="H117" s="119" t="s">
        <v>198</v>
      </c>
      <c r="I117" s="290" t="s">
        <v>198</v>
      </c>
    </row>
    <row r="118" customFormat="false" ht="30" hidden="false" customHeight="true" outlineLevel="0" collapsed="false">
      <c r="A118" s="17"/>
      <c r="B118" s="67" t="s">
        <v>199</v>
      </c>
      <c r="C118" s="67"/>
      <c r="D118" s="67"/>
      <c r="E118" s="67"/>
      <c r="F118" s="67"/>
      <c r="G118" s="67"/>
      <c r="H118" s="121" t="n">
        <v>0.03</v>
      </c>
      <c r="I118" s="273" t="n">
        <f aca="false">ROUND(($I$115/(1-H125))*H118,2)</f>
        <v>236.53</v>
      </c>
    </row>
    <row r="119" customFormat="false" ht="27" hidden="false" customHeight="true" outlineLevel="0" collapsed="false">
      <c r="A119" s="17"/>
      <c r="B119" s="67" t="s">
        <v>200</v>
      </c>
      <c r="C119" s="67"/>
      <c r="D119" s="67"/>
      <c r="E119" s="67"/>
      <c r="F119" s="67"/>
      <c r="G119" s="67"/>
      <c r="H119" s="121" t="n">
        <v>0.0065</v>
      </c>
      <c r="I119" s="273" t="n">
        <f aca="false">ROUND(($I$115/(1-H125))*H119,2)</f>
        <v>51.25</v>
      </c>
      <c r="K119" s="66"/>
    </row>
    <row r="120" customFormat="false" ht="30" hidden="false" customHeight="true" outlineLevel="0" collapsed="false">
      <c r="A120" s="17"/>
      <c r="B120" s="122" t="s">
        <v>124</v>
      </c>
      <c r="C120" s="122"/>
      <c r="D120" s="122"/>
      <c r="E120" s="122"/>
      <c r="F120" s="122"/>
      <c r="G120" s="122"/>
      <c r="H120" s="121" t="s">
        <v>198</v>
      </c>
      <c r="I120" s="290" t="s">
        <v>198</v>
      </c>
      <c r="K120" s="66"/>
    </row>
    <row r="121" customFormat="false" ht="16.5" hidden="false" customHeight="true" outlineLevel="0" collapsed="false">
      <c r="A121" s="17"/>
      <c r="B121" s="83" t="s">
        <v>125</v>
      </c>
      <c r="C121" s="83"/>
      <c r="D121" s="83"/>
      <c r="E121" s="83"/>
      <c r="F121" s="83"/>
      <c r="G121" s="83"/>
      <c r="H121" s="119" t="s">
        <v>198</v>
      </c>
      <c r="I121" s="290" t="s">
        <v>198</v>
      </c>
    </row>
    <row r="122" customFormat="false" ht="15.75" hidden="false" customHeight="false" outlineLevel="0" collapsed="false">
      <c r="A122" s="17"/>
      <c r="B122" s="83" t="s">
        <v>126</v>
      </c>
      <c r="C122" s="83"/>
      <c r="D122" s="83"/>
      <c r="E122" s="83"/>
      <c r="F122" s="83"/>
      <c r="G122" s="83"/>
      <c r="H122" s="119" t="s">
        <v>198</v>
      </c>
      <c r="I122" s="290" t="s">
        <v>198</v>
      </c>
      <c r="K122" s="66"/>
    </row>
    <row r="123" customFormat="false" ht="15.75" hidden="false" customHeight="false" outlineLevel="0" collapsed="false">
      <c r="A123" s="17"/>
      <c r="B123" s="52" t="s">
        <v>201</v>
      </c>
      <c r="C123" s="52"/>
      <c r="D123" s="52"/>
      <c r="E123" s="52"/>
      <c r="F123" s="52"/>
      <c r="G123" s="52"/>
      <c r="H123" s="124" t="n">
        <v>0.03</v>
      </c>
      <c r="I123" s="273" t="n">
        <f aca="false">ROUND(($I$115/(1-H125))*H123,2)</f>
        <v>236.53</v>
      </c>
    </row>
    <row r="124" customFormat="false" ht="18" hidden="false" customHeight="true" outlineLevel="0" collapsed="false">
      <c r="A124" s="125" t="s">
        <v>76</v>
      </c>
      <c r="B124" s="125"/>
      <c r="C124" s="125"/>
      <c r="D124" s="125"/>
      <c r="E124" s="125"/>
      <c r="F124" s="125"/>
      <c r="G124" s="125"/>
      <c r="H124" s="125"/>
      <c r="I124" s="291" t="n">
        <f aca="false">I112+I114+I118+I119+I123</f>
        <v>1813.59</v>
      </c>
    </row>
    <row r="125" customFormat="false" ht="15.75" hidden="false" customHeight="false" outlineLevel="0" collapsed="false">
      <c r="A125" s="127" t="s">
        <v>128</v>
      </c>
      <c r="B125" s="127"/>
      <c r="C125" s="127"/>
      <c r="D125" s="127"/>
      <c r="E125" s="127"/>
      <c r="F125" s="127"/>
      <c r="G125" s="127"/>
      <c r="H125" s="128" t="n">
        <f aca="false">SUM(H118:H123)</f>
        <v>0.0665</v>
      </c>
      <c r="I125" s="292" t="n">
        <f aca="false">SUM(I118+I119+I123)</f>
        <v>524.31</v>
      </c>
    </row>
    <row r="126" customFormat="false" ht="23.25" hidden="false" customHeight="true" outlineLevel="0" collapsed="false">
      <c r="A126" s="130" t="s">
        <v>129</v>
      </c>
      <c r="B126" s="130"/>
      <c r="C126" s="293" t="s">
        <v>130</v>
      </c>
      <c r="D126" s="293"/>
      <c r="E126" s="293"/>
      <c r="F126" s="293"/>
      <c r="G126" s="293"/>
      <c r="H126" s="293"/>
      <c r="I126" s="293"/>
    </row>
    <row r="127" customFormat="false" ht="22.5" hidden="false" customHeight="true" outlineLevel="0" collapsed="false">
      <c r="A127" s="130"/>
      <c r="B127" s="130"/>
      <c r="C127" s="294" t="s">
        <v>131</v>
      </c>
      <c r="D127" s="294"/>
      <c r="E127" s="294"/>
      <c r="F127" s="294"/>
      <c r="G127" s="294"/>
      <c r="H127" s="294"/>
      <c r="I127" s="294"/>
    </row>
    <row r="128" customFormat="false" ht="15.75" hidden="false" customHeight="false" outlineLevel="0" collapsed="false">
      <c r="A128" s="133" t="s">
        <v>132</v>
      </c>
      <c r="B128" s="133"/>
      <c r="C128" s="133"/>
      <c r="D128" s="133"/>
      <c r="E128" s="133"/>
      <c r="F128" s="133"/>
      <c r="G128" s="133"/>
      <c r="H128" s="133"/>
      <c r="I128" s="133"/>
    </row>
    <row r="129" customFormat="false" ht="15.75" hidden="false" customHeight="false" outlineLevel="0" collapsed="false">
      <c r="A129" s="94" t="s">
        <v>133</v>
      </c>
      <c r="B129" s="94"/>
      <c r="C129" s="94"/>
      <c r="D129" s="94"/>
      <c r="E129" s="94"/>
      <c r="F129" s="94"/>
      <c r="G129" s="94"/>
      <c r="H129" s="94"/>
      <c r="I129" s="94"/>
    </row>
    <row r="130" customFormat="false" ht="15" hidden="false" customHeight="true" outlineLevel="0" collapsed="false">
      <c r="A130" s="295"/>
      <c r="B130" s="295"/>
      <c r="C130" s="295"/>
      <c r="D130" s="295"/>
      <c r="E130" s="295"/>
      <c r="F130" s="295"/>
      <c r="G130" s="295"/>
      <c r="H130" s="295"/>
      <c r="I130" s="295"/>
    </row>
    <row r="131" customFormat="false" ht="15.75" hidden="false" customHeight="false" outlineLevel="0" collapsed="false">
      <c r="A131" s="33" t="s">
        <v>134</v>
      </c>
      <c r="B131" s="33"/>
      <c r="C131" s="33"/>
      <c r="D131" s="33"/>
      <c r="E131" s="33"/>
      <c r="F131" s="33"/>
      <c r="G131" s="33"/>
      <c r="H131" s="33"/>
      <c r="I131" s="33"/>
    </row>
    <row r="132" customFormat="false" ht="15.75" hidden="false" customHeight="false" outlineLevel="0" collapsed="false">
      <c r="A132" s="135" t="s">
        <v>135</v>
      </c>
      <c r="B132" s="135"/>
      <c r="C132" s="135"/>
      <c r="D132" s="135"/>
      <c r="E132" s="135"/>
      <c r="F132" s="135"/>
      <c r="G132" s="135"/>
      <c r="H132" s="135"/>
      <c r="I132" s="135"/>
    </row>
    <row r="133" customFormat="false" ht="15.75" hidden="false" customHeight="false" outlineLevel="0" collapsed="false">
      <c r="A133" s="136" t="s">
        <v>136</v>
      </c>
      <c r="B133" s="136"/>
      <c r="C133" s="136"/>
      <c r="D133" s="136"/>
      <c r="E133" s="136"/>
      <c r="F133" s="136"/>
      <c r="G133" s="136"/>
      <c r="H133" s="136"/>
      <c r="I133" s="296" t="s">
        <v>35</v>
      </c>
    </row>
    <row r="134" customFormat="false" ht="15.75" hidden="false" customHeight="false" outlineLevel="0" collapsed="false">
      <c r="A134" s="14" t="s">
        <v>8</v>
      </c>
      <c r="B134" s="15" t="s">
        <v>137</v>
      </c>
      <c r="C134" s="15"/>
      <c r="D134" s="15"/>
      <c r="E134" s="15"/>
      <c r="F134" s="15"/>
      <c r="G134" s="15"/>
      <c r="H134" s="15"/>
      <c r="I134" s="297" t="n">
        <f aca="false">I42</f>
        <v>3065.726</v>
      </c>
    </row>
    <row r="135" customFormat="false" ht="15.75" hidden="false" customHeight="false" outlineLevel="0" collapsed="false">
      <c r="A135" s="14" t="s">
        <v>10</v>
      </c>
      <c r="B135" s="15" t="s">
        <v>138</v>
      </c>
      <c r="C135" s="15"/>
      <c r="D135" s="15"/>
      <c r="E135" s="15"/>
      <c r="F135" s="15"/>
      <c r="G135" s="15"/>
      <c r="H135" s="15"/>
      <c r="I135" s="297" t="n">
        <f aca="false">I51</f>
        <v>765.16</v>
      </c>
    </row>
    <row r="136" customFormat="false" ht="15.75" hidden="false" customHeight="false" outlineLevel="0" collapsed="false">
      <c r="A136" s="14" t="s">
        <v>12</v>
      </c>
      <c r="B136" s="15" t="s">
        <v>139</v>
      </c>
      <c r="C136" s="15"/>
      <c r="D136" s="15"/>
      <c r="E136" s="15"/>
      <c r="F136" s="15"/>
      <c r="G136" s="15"/>
      <c r="H136" s="15"/>
      <c r="I136" s="298" t="n">
        <f aca="false">I56</f>
        <v>137.67625</v>
      </c>
    </row>
    <row r="137" customFormat="false" ht="15.75" hidden="false" customHeight="false" outlineLevel="0" collapsed="false">
      <c r="A137" s="14" t="s">
        <v>14</v>
      </c>
      <c r="B137" s="15" t="s">
        <v>109</v>
      </c>
      <c r="C137" s="15"/>
      <c r="D137" s="15"/>
      <c r="E137" s="15"/>
      <c r="F137" s="15"/>
      <c r="G137" s="15"/>
      <c r="H137" s="15"/>
      <c r="I137" s="297" t="n">
        <f aca="false">I108</f>
        <v>2102.235</v>
      </c>
    </row>
    <row r="138" customFormat="false" ht="15.75" hidden="false" customHeight="false" outlineLevel="0" collapsed="false">
      <c r="A138" s="140" t="s">
        <v>140</v>
      </c>
      <c r="B138" s="140"/>
      <c r="C138" s="140"/>
      <c r="D138" s="140"/>
      <c r="E138" s="140"/>
      <c r="F138" s="140"/>
      <c r="G138" s="140"/>
      <c r="H138" s="140"/>
      <c r="I138" s="299" t="n">
        <f aca="false">SUM(I134:I137)</f>
        <v>6070.79725</v>
      </c>
    </row>
    <row r="139" customFormat="false" ht="15.75" hidden="false" customHeight="false" outlineLevel="0" collapsed="false">
      <c r="A139" s="14" t="s">
        <v>40</v>
      </c>
      <c r="B139" s="15" t="s">
        <v>141</v>
      </c>
      <c r="C139" s="15"/>
      <c r="D139" s="15"/>
      <c r="E139" s="15"/>
      <c r="F139" s="15"/>
      <c r="G139" s="15"/>
      <c r="H139" s="15"/>
      <c r="I139" s="297" t="n">
        <f aca="false">I124</f>
        <v>1813.59</v>
      </c>
    </row>
    <row r="140" customFormat="false" ht="17.25" hidden="false" customHeight="true" outlineLevel="0" collapsed="false">
      <c r="A140" s="143" t="s">
        <v>142</v>
      </c>
      <c r="B140" s="143"/>
      <c r="C140" s="143"/>
      <c r="D140" s="143"/>
      <c r="E140" s="143"/>
      <c r="F140" s="143"/>
      <c r="G140" s="143"/>
      <c r="H140" s="143"/>
      <c r="I140" s="300" t="n">
        <f aca="false">SUM(I138+I139)</f>
        <v>7884.38725</v>
      </c>
    </row>
    <row r="141" customFormat="false" ht="15" hidden="false" customHeight="true" outlineLevel="0" collapsed="false">
      <c r="A141" s="301"/>
      <c r="B141" s="301"/>
      <c r="C141" s="301"/>
      <c r="D141" s="301"/>
      <c r="E141" s="301"/>
      <c r="F141" s="301"/>
      <c r="G141" s="301"/>
      <c r="H141" s="301"/>
      <c r="I141" s="301"/>
    </row>
    <row r="142" customFormat="false" ht="15.75" hidden="false" customHeight="false" outlineLevel="0" collapsed="false">
      <c r="A142" s="33" t="s">
        <v>143</v>
      </c>
      <c r="B142" s="33"/>
      <c r="C142" s="33"/>
      <c r="D142" s="33"/>
      <c r="E142" s="33"/>
      <c r="F142" s="33"/>
      <c r="G142" s="33"/>
      <c r="H142" s="33"/>
      <c r="I142" s="33"/>
    </row>
    <row r="143" customFormat="false" ht="15.75" hidden="false" customHeight="false" outlineLevel="0" collapsed="false">
      <c r="A143" s="146" t="s">
        <v>144</v>
      </c>
      <c r="B143" s="146"/>
      <c r="C143" s="146"/>
      <c r="D143" s="146"/>
      <c r="E143" s="146"/>
      <c r="F143" s="146"/>
      <c r="G143" s="146"/>
      <c r="H143" s="146"/>
      <c r="I143" s="146"/>
    </row>
    <row r="144" customFormat="false" ht="62.25" hidden="false" customHeight="true" outlineLevel="0" collapsed="false">
      <c r="A144" s="64" t="s">
        <v>145</v>
      </c>
      <c r="B144" s="64"/>
      <c r="C144" s="245" t="s">
        <v>146</v>
      </c>
      <c r="D144" s="245"/>
      <c r="E144" s="246" t="s">
        <v>147</v>
      </c>
      <c r="F144" s="245" t="s">
        <v>148</v>
      </c>
      <c r="G144" s="245"/>
      <c r="H144" s="245" t="s">
        <v>149</v>
      </c>
      <c r="I144" s="302" t="s">
        <v>150</v>
      </c>
    </row>
    <row r="145" customFormat="false" ht="45" hidden="false" customHeight="true" outlineLevel="0" collapsed="false">
      <c r="A145" s="248" t="s">
        <v>26</v>
      </c>
      <c r="B145" s="248"/>
      <c r="C145" s="249" t="n">
        <f aca="false">I140</f>
        <v>7884.38725</v>
      </c>
      <c r="D145" s="249"/>
      <c r="E145" s="250" t="n">
        <v>2</v>
      </c>
      <c r="F145" s="251" t="n">
        <f aca="false">C145</f>
        <v>7884.38725</v>
      </c>
      <c r="G145" s="251"/>
      <c r="H145" s="252" t="n">
        <v>1</v>
      </c>
      <c r="I145" s="303" t="n">
        <f aca="false">F145*H145</f>
        <v>7884.38725</v>
      </c>
    </row>
    <row r="146" customFormat="false" ht="14.25" hidden="false" customHeight="true" outlineLevel="0" collapsed="false">
      <c r="A146" s="301"/>
      <c r="B146" s="301"/>
      <c r="C146" s="301"/>
      <c r="D146" s="301"/>
      <c r="E146" s="301"/>
      <c r="F146" s="301"/>
      <c r="G146" s="301"/>
      <c r="H146" s="301"/>
      <c r="I146" s="301"/>
    </row>
    <row r="147" customFormat="false" ht="15.75" hidden="false" customHeight="false" outlineLevel="0" collapsed="false">
      <c r="A147" s="33" t="s">
        <v>151</v>
      </c>
      <c r="B147" s="33"/>
      <c r="C147" s="33"/>
      <c r="D147" s="33"/>
      <c r="E147" s="33"/>
      <c r="F147" s="33"/>
      <c r="G147" s="33"/>
      <c r="H147" s="33"/>
      <c r="I147" s="33"/>
    </row>
    <row r="148" customFormat="false" ht="15.75" hidden="false" customHeight="false" outlineLevel="0" collapsed="false">
      <c r="A148" s="146" t="s">
        <v>152</v>
      </c>
      <c r="B148" s="146"/>
      <c r="C148" s="146"/>
      <c r="D148" s="146"/>
      <c r="E148" s="146"/>
      <c r="F148" s="146"/>
      <c r="G148" s="146"/>
      <c r="H148" s="146"/>
      <c r="I148" s="146"/>
    </row>
    <row r="149" customFormat="false" ht="15.75" hidden="false" customHeight="false" outlineLevel="0" collapsed="false">
      <c r="A149" s="157" t="s">
        <v>153</v>
      </c>
      <c r="B149" s="157"/>
      <c r="C149" s="157"/>
      <c r="D149" s="157"/>
      <c r="E149" s="157"/>
      <c r="F149" s="157"/>
      <c r="G149" s="157"/>
      <c r="H149" s="157"/>
      <c r="I149" s="157"/>
    </row>
    <row r="150" customFormat="false" ht="15.75" hidden="false" customHeight="false" outlineLevel="0" collapsed="false">
      <c r="A150" s="158" t="s">
        <v>8</v>
      </c>
      <c r="B150" s="15" t="s">
        <v>154</v>
      </c>
      <c r="C150" s="15"/>
      <c r="D150" s="15"/>
      <c r="E150" s="15"/>
      <c r="F150" s="15"/>
      <c r="G150" s="15"/>
      <c r="H150" s="15"/>
      <c r="I150" s="304" t="n">
        <f aca="false">F145</f>
        <v>7884.38725</v>
      </c>
    </row>
    <row r="151" customFormat="false" ht="15.75" hidden="false" customHeight="false" outlineLevel="0" collapsed="false">
      <c r="A151" s="158" t="s">
        <v>10</v>
      </c>
      <c r="B151" s="15" t="s">
        <v>155</v>
      </c>
      <c r="C151" s="15"/>
      <c r="D151" s="15"/>
      <c r="E151" s="15"/>
      <c r="F151" s="15"/>
      <c r="G151" s="15"/>
      <c r="H151" s="15"/>
      <c r="I151" s="305" t="n">
        <f aca="false">I145</f>
        <v>7884.38725</v>
      </c>
    </row>
    <row r="152" customFormat="false" ht="18" hidden="false" customHeight="true" outlineLevel="0" collapsed="false">
      <c r="A152" s="161" t="s">
        <v>12</v>
      </c>
      <c r="B152" s="162" t="s">
        <v>156</v>
      </c>
      <c r="C152" s="162"/>
      <c r="D152" s="162"/>
      <c r="E152" s="162"/>
      <c r="F152" s="162"/>
      <c r="G152" s="162"/>
      <c r="H152" s="162"/>
      <c r="I152" s="306" t="n">
        <f aca="false">I151*12</f>
        <v>94612.647</v>
      </c>
    </row>
  </sheetData>
  <mergeCells count="157">
    <mergeCell ref="A8:I8"/>
    <mergeCell ref="A9:I9"/>
    <mergeCell ref="A10:I10"/>
    <mergeCell ref="A11:I11"/>
    <mergeCell ref="A12:I12"/>
    <mergeCell ref="A13:I13"/>
    <mergeCell ref="A14:I14"/>
    <mergeCell ref="B15:H15"/>
    <mergeCell ref="B16:H16"/>
    <mergeCell ref="B17:H17"/>
    <mergeCell ref="B18:H18"/>
    <mergeCell ref="A19:I19"/>
    <mergeCell ref="A20:D20"/>
    <mergeCell ref="E20:F20"/>
    <mergeCell ref="G20:I20"/>
    <mergeCell ref="A21:D21"/>
    <mergeCell ref="E21:F22"/>
    <mergeCell ref="G21:I22"/>
    <mergeCell ref="A22:D22"/>
    <mergeCell ref="B23:I23"/>
    <mergeCell ref="A24:I24"/>
    <mergeCell ref="A25:I25"/>
    <mergeCell ref="A26:I26"/>
    <mergeCell ref="B27:H27"/>
    <mergeCell ref="B28:H28"/>
    <mergeCell ref="B29:H29"/>
    <mergeCell ref="B30:H30"/>
    <mergeCell ref="B31:H31"/>
    <mergeCell ref="B32:H32"/>
    <mergeCell ref="B33:H33"/>
    <mergeCell ref="A34:I34"/>
    <mergeCell ref="A35:I35"/>
    <mergeCell ref="B36:H36"/>
    <mergeCell ref="B37:H37"/>
    <mergeCell ref="B38:H38"/>
    <mergeCell ref="B39:H39"/>
    <mergeCell ref="B40:H40"/>
    <mergeCell ref="B41:H41"/>
    <mergeCell ref="A42:H42"/>
    <mergeCell ref="A43:I43"/>
    <mergeCell ref="B44:H44"/>
    <mergeCell ref="A45:A47"/>
    <mergeCell ref="B45:H45"/>
    <mergeCell ref="B46:G46"/>
    <mergeCell ref="B47:G47"/>
    <mergeCell ref="A48:A49"/>
    <mergeCell ref="B48:H48"/>
    <mergeCell ref="B49:G49"/>
    <mergeCell ref="B50:H50"/>
    <mergeCell ref="A51:H51"/>
    <mergeCell ref="A52:I52"/>
    <mergeCell ref="A53:I53"/>
    <mergeCell ref="B54:H54"/>
    <mergeCell ref="B55:H55"/>
    <mergeCell ref="A56:H56"/>
    <mergeCell ref="A57:I57"/>
    <mergeCell ref="A58:I58"/>
    <mergeCell ref="B59:G59"/>
    <mergeCell ref="B60:G60"/>
    <mergeCell ref="B61:G61"/>
    <mergeCell ref="B62:G62"/>
    <mergeCell ref="B63:G63"/>
    <mergeCell ref="B64:G64"/>
    <mergeCell ref="B65:G65"/>
    <mergeCell ref="B66:E66"/>
    <mergeCell ref="B67:G67"/>
    <mergeCell ref="A68:G68"/>
    <mergeCell ref="A69:I69"/>
    <mergeCell ref="A70:I70"/>
    <mergeCell ref="A71:I71"/>
    <mergeCell ref="B72:H72"/>
    <mergeCell ref="B73:H73"/>
    <mergeCell ref="A74:H74"/>
    <mergeCell ref="B75:H75"/>
    <mergeCell ref="A76:H76"/>
    <mergeCell ref="A77:I77"/>
    <mergeCell ref="B78:H78"/>
    <mergeCell ref="B79:H79"/>
    <mergeCell ref="B80:H80"/>
    <mergeCell ref="A81:H81"/>
    <mergeCell ref="A82:I82"/>
    <mergeCell ref="B83:H83"/>
    <mergeCell ref="B84:H84"/>
    <mergeCell ref="B85:H85"/>
    <mergeCell ref="B86:H86"/>
    <mergeCell ref="B87:H87"/>
    <mergeCell ref="B88:H88"/>
    <mergeCell ref="B89:H89"/>
    <mergeCell ref="A90:H90"/>
    <mergeCell ref="A91:I91"/>
    <mergeCell ref="B92:H92"/>
    <mergeCell ref="B93:H93"/>
    <mergeCell ref="B94:H94"/>
    <mergeCell ref="B95:H95"/>
    <mergeCell ref="B96:H96"/>
    <mergeCell ref="B97:H97"/>
    <mergeCell ref="A98:H98"/>
    <mergeCell ref="B99:H99"/>
    <mergeCell ref="A100:H100"/>
    <mergeCell ref="A101:I101"/>
    <mergeCell ref="B102:H102"/>
    <mergeCell ref="B103:H103"/>
    <mergeCell ref="B104:H104"/>
    <mergeCell ref="B105:H105"/>
    <mergeCell ref="B106:H106"/>
    <mergeCell ref="B107:H107"/>
    <mergeCell ref="A108:H108"/>
    <mergeCell ref="A109:I109"/>
    <mergeCell ref="B110:G110"/>
    <mergeCell ref="A111:G111"/>
    <mergeCell ref="B112:G112"/>
    <mergeCell ref="A113:G113"/>
    <mergeCell ref="B114:G114"/>
    <mergeCell ref="A115:G115"/>
    <mergeCell ref="A116:A123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A124:H124"/>
    <mergeCell ref="A125:G125"/>
    <mergeCell ref="A126:B127"/>
    <mergeCell ref="C126:I126"/>
    <mergeCell ref="C127:I127"/>
    <mergeCell ref="A128:I128"/>
    <mergeCell ref="A129:I129"/>
    <mergeCell ref="A130:I130"/>
    <mergeCell ref="A131:I131"/>
    <mergeCell ref="A132:I132"/>
    <mergeCell ref="A133:H133"/>
    <mergeCell ref="B134:H134"/>
    <mergeCell ref="B135:H135"/>
    <mergeCell ref="B136:H136"/>
    <mergeCell ref="B137:H137"/>
    <mergeCell ref="A138:H138"/>
    <mergeCell ref="B139:H139"/>
    <mergeCell ref="A140:H140"/>
    <mergeCell ref="A141:I141"/>
    <mergeCell ref="A142:I142"/>
    <mergeCell ref="A143:I143"/>
    <mergeCell ref="A144:B144"/>
    <mergeCell ref="C144:D144"/>
    <mergeCell ref="F144:G144"/>
    <mergeCell ref="A145:B145"/>
    <mergeCell ref="C145:D145"/>
    <mergeCell ref="F145:G145"/>
    <mergeCell ref="A146:I146"/>
    <mergeCell ref="A147:I147"/>
    <mergeCell ref="A148:I148"/>
    <mergeCell ref="A149:I149"/>
    <mergeCell ref="B150:H150"/>
    <mergeCell ref="B151:H151"/>
    <mergeCell ref="B152:H152"/>
  </mergeCells>
  <printOptions headings="false" gridLines="false" gridLinesSet="true" horizontalCentered="true" verticalCentered="true"/>
  <pageMargins left="0.510416666666667" right="0.51041666666666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6" man="true" max="16383" min="0"/>
    <brk id="108" man="true" max="16383" min="0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DEADA"/>
    <pageSetUpPr fitToPage="false"/>
  </sheetPr>
  <dimension ref="A1:N151"/>
  <sheetViews>
    <sheetView showFormulas="false" showGridLines="true" showRowColHeaders="true" showZeros="true" rightToLeft="false" tabSelected="false" showOutlineSymbols="true" defaultGridColor="true" view="pageBreakPreview" topLeftCell="A136" colorId="64" zoomScale="76" zoomScaleNormal="100" zoomScalePageLayoutView="76" workbookViewId="0">
      <selection pane="topLeft" activeCell="I44" activeCellId="0" sqref="I44"/>
    </sheetView>
  </sheetViews>
  <sheetFormatPr defaultRowHeight="15" zeroHeight="false" outlineLevelRow="0" outlineLevelCol="0"/>
  <cols>
    <col collapsed="false" customWidth="true" hidden="false" outlineLevel="0" max="1" min="1" style="1" width="14.28"/>
    <col collapsed="false" customWidth="true" hidden="false" outlineLevel="0" max="2" min="2" style="1" width="17"/>
    <col collapsed="false" customWidth="true" hidden="false" outlineLevel="0" max="3" min="3" style="1" width="18"/>
    <col collapsed="false" customWidth="true" hidden="false" outlineLevel="0" max="4" min="4" style="1" width="16.71"/>
    <col collapsed="false" customWidth="true" hidden="false" outlineLevel="0" max="5" min="5" style="1" width="15.15"/>
    <col collapsed="false" customWidth="true" hidden="false" outlineLevel="0" max="6" min="6" style="1" width="17.4"/>
    <col collapsed="false" customWidth="true" hidden="false" outlineLevel="0" max="7" min="7" style="1" width="18.71"/>
    <col collapsed="false" customWidth="true" hidden="false" outlineLevel="0" max="8" min="8" style="1" width="23.42"/>
    <col collapsed="false" customWidth="true" hidden="false" outlineLevel="0" max="9" min="9" style="1" width="41.41"/>
    <col collapsed="false" customWidth="true" hidden="true" outlineLevel="0" max="11" min="10" style="1" width="9"/>
    <col collapsed="false" customWidth="true" hidden="false" outlineLevel="0" max="12" min="12" style="1" width="58.57"/>
    <col collapsed="false" customWidth="true" hidden="false" outlineLevel="0" max="1025" min="13" style="1" width="28.57"/>
  </cols>
  <sheetData>
    <row r="1" s="101" customFormat="true" ht="15.75" hidden="false" customHeight="false" outlineLevel="0" collapsed="false">
      <c r="A1" s="173" t="s">
        <v>178</v>
      </c>
      <c r="I1" s="209"/>
    </row>
    <row r="2" s="101" customFormat="true" ht="15.75" hidden="false" customHeight="false" outlineLevel="0" collapsed="false">
      <c r="A2" s="173" t="s">
        <v>179</v>
      </c>
      <c r="I2" s="209"/>
    </row>
    <row r="3" s="101" customFormat="true" ht="15.75" hidden="false" customHeight="false" outlineLevel="0" collapsed="false">
      <c r="A3" s="173" t="s">
        <v>180</v>
      </c>
      <c r="I3" s="209"/>
    </row>
    <row r="4" s="101" customFormat="true" ht="15.75" hidden="false" customHeight="false" outlineLevel="0" collapsed="false">
      <c r="A4" s="173" t="s">
        <v>181</v>
      </c>
      <c r="I4" s="209"/>
    </row>
    <row r="5" s="101" customFormat="true" ht="15.75" hidden="false" customHeight="false" outlineLevel="0" collapsed="false">
      <c r="A5" s="173" t="s">
        <v>182</v>
      </c>
      <c r="I5" s="209"/>
    </row>
    <row r="6" s="101" customFormat="true" ht="15.75" hidden="false" customHeight="false" outlineLevel="0" collapsed="false">
      <c r="A6" s="173" t="s">
        <v>183</v>
      </c>
      <c r="I6" s="209"/>
    </row>
    <row r="7" customFormat="false" ht="15.75" hidden="false" customHeight="false" outlineLevel="0" collapsed="false">
      <c r="A7" s="174" t="s">
        <v>184</v>
      </c>
      <c r="I7" s="171"/>
    </row>
    <row r="8" customFormat="false" ht="15.75" hidden="false" customHeight="false" outlineLevel="0" collapsed="false">
      <c r="A8" s="263" t="s">
        <v>1</v>
      </c>
      <c r="B8" s="263"/>
      <c r="C8" s="263"/>
      <c r="D8" s="263"/>
      <c r="E8" s="263"/>
      <c r="F8" s="263"/>
      <c r="G8" s="263"/>
      <c r="H8" s="263"/>
      <c r="I8" s="263"/>
    </row>
    <row r="9" customFormat="false" ht="15.75" hidden="false" customHeight="false" outlineLevel="0" collapsed="false">
      <c r="A9" s="4" t="s">
        <v>2</v>
      </c>
      <c r="B9" s="4"/>
      <c r="C9" s="4"/>
      <c r="D9" s="4"/>
      <c r="E9" s="4"/>
      <c r="F9" s="4"/>
      <c r="G9" s="4"/>
      <c r="H9" s="4"/>
      <c r="I9" s="4"/>
    </row>
    <row r="10" customFormat="false" ht="15.75" hidden="false" customHeight="false" outlineLevel="0" collapsed="false">
      <c r="A10" s="5" t="s">
        <v>3</v>
      </c>
      <c r="B10" s="5"/>
      <c r="C10" s="5"/>
      <c r="D10" s="5"/>
      <c r="E10" s="5"/>
      <c r="F10" s="5"/>
      <c r="G10" s="5"/>
      <c r="H10" s="5"/>
      <c r="I10" s="5"/>
    </row>
    <row r="11" customFormat="false" ht="15.75" hidden="false" customHeight="false" outlineLevel="0" collapsed="false">
      <c r="A11" s="6" t="s">
        <v>4</v>
      </c>
      <c r="B11" s="6"/>
      <c r="C11" s="6"/>
      <c r="D11" s="6"/>
      <c r="E11" s="6"/>
      <c r="F11" s="6"/>
      <c r="G11" s="6"/>
      <c r="H11" s="6"/>
      <c r="I11" s="6"/>
    </row>
    <row r="12" customFormat="false" ht="15.75" hidden="false" customHeight="false" outlineLevel="0" collapsed="false">
      <c r="A12" s="7" t="s">
        <v>5</v>
      </c>
      <c r="B12" s="7"/>
      <c r="C12" s="7"/>
      <c r="D12" s="7"/>
      <c r="E12" s="7"/>
      <c r="F12" s="7"/>
      <c r="G12" s="7"/>
      <c r="H12" s="7"/>
      <c r="I12" s="7"/>
    </row>
    <row r="13" customFormat="false" ht="15.75" hidden="false" customHeight="false" outlineLevel="0" collapsed="false">
      <c r="A13" s="8" t="s">
        <v>6</v>
      </c>
      <c r="B13" s="8"/>
      <c r="C13" s="8"/>
      <c r="D13" s="8"/>
      <c r="E13" s="8"/>
      <c r="F13" s="8"/>
      <c r="G13" s="8"/>
      <c r="H13" s="8"/>
      <c r="I13" s="8"/>
    </row>
    <row r="14" customFormat="false" ht="15.75" hidden="false" customHeight="false" outlineLevel="0" collapsed="false">
      <c r="A14" s="179" t="s">
        <v>7</v>
      </c>
      <c r="B14" s="179"/>
      <c r="C14" s="179"/>
      <c r="D14" s="179"/>
      <c r="E14" s="179"/>
      <c r="F14" s="179"/>
      <c r="G14" s="179"/>
      <c r="H14" s="179"/>
      <c r="I14" s="179"/>
    </row>
    <row r="15" customFormat="false" ht="15.75" hidden="false" customHeight="false" outlineLevel="0" collapsed="false">
      <c r="A15" s="10" t="s">
        <v>8</v>
      </c>
      <c r="B15" s="11" t="s">
        <v>9</v>
      </c>
      <c r="C15" s="11"/>
      <c r="D15" s="11"/>
      <c r="E15" s="11"/>
      <c r="F15" s="11"/>
      <c r="G15" s="11"/>
      <c r="H15" s="11"/>
      <c r="I15" s="307"/>
      <c r="L15" s="13"/>
    </row>
    <row r="16" customFormat="false" ht="15.75" hidden="false" customHeight="false" outlineLevel="0" collapsed="false">
      <c r="A16" s="14" t="s">
        <v>10</v>
      </c>
      <c r="B16" s="15" t="s">
        <v>11</v>
      </c>
      <c r="C16" s="15"/>
      <c r="D16" s="15"/>
      <c r="E16" s="15"/>
      <c r="F16" s="15"/>
      <c r="G16" s="15"/>
      <c r="H16" s="15"/>
      <c r="I16" s="308" t="s">
        <v>185</v>
      </c>
      <c r="L16" s="13"/>
    </row>
    <row r="17" customFormat="false" ht="47.25" hidden="false" customHeight="true" outlineLevel="0" collapsed="false">
      <c r="A17" s="17" t="s">
        <v>12</v>
      </c>
      <c r="B17" s="18" t="s">
        <v>13</v>
      </c>
      <c r="C17" s="18"/>
      <c r="D17" s="18"/>
      <c r="E17" s="18"/>
      <c r="F17" s="18"/>
      <c r="G17" s="18"/>
      <c r="H17" s="18"/>
      <c r="I17" s="37" t="s">
        <v>186</v>
      </c>
      <c r="L17" s="13"/>
    </row>
    <row r="18" customFormat="false" ht="15.75" hidden="false" customHeight="false" outlineLevel="0" collapsed="false">
      <c r="A18" s="20" t="s">
        <v>14</v>
      </c>
      <c r="B18" s="21" t="s">
        <v>15</v>
      </c>
      <c r="C18" s="21"/>
      <c r="D18" s="21"/>
      <c r="E18" s="21"/>
      <c r="F18" s="21"/>
      <c r="G18" s="21"/>
      <c r="H18" s="21"/>
      <c r="I18" s="309" t="n">
        <v>12</v>
      </c>
    </row>
    <row r="19" customFormat="false" ht="15.75" hidden="false" customHeight="false" outlineLevel="0" collapsed="false">
      <c r="A19" s="179" t="s">
        <v>16</v>
      </c>
      <c r="B19" s="179"/>
      <c r="C19" s="179"/>
      <c r="D19" s="179"/>
      <c r="E19" s="179"/>
      <c r="F19" s="179"/>
      <c r="G19" s="179"/>
      <c r="H19" s="179"/>
      <c r="I19" s="179"/>
    </row>
    <row r="20" customFormat="false" ht="15.75" hidden="false" customHeight="false" outlineLevel="0" collapsed="false">
      <c r="A20" s="23" t="s">
        <v>17</v>
      </c>
      <c r="B20" s="23"/>
      <c r="C20" s="23"/>
      <c r="D20" s="23"/>
      <c r="E20" s="24" t="s">
        <v>18</v>
      </c>
      <c r="F20" s="24"/>
      <c r="G20" s="25" t="s">
        <v>19</v>
      </c>
      <c r="H20" s="25"/>
      <c r="I20" s="25"/>
    </row>
    <row r="21" customFormat="false" ht="15.75" hidden="false" customHeight="true" outlineLevel="0" collapsed="false">
      <c r="A21" s="26" t="s">
        <v>20</v>
      </c>
      <c r="B21" s="26"/>
      <c r="C21" s="26"/>
      <c r="D21" s="26"/>
      <c r="E21" s="27" t="s">
        <v>21</v>
      </c>
      <c r="F21" s="27"/>
      <c r="G21" s="28" t="n">
        <v>1</v>
      </c>
      <c r="H21" s="28"/>
      <c r="I21" s="28"/>
    </row>
    <row r="22" customFormat="false" ht="33" hidden="false" customHeight="true" outlineLevel="0" collapsed="false">
      <c r="A22" s="310" t="s">
        <v>209</v>
      </c>
      <c r="B22" s="310"/>
      <c r="C22" s="310"/>
      <c r="D22" s="310"/>
      <c r="E22" s="27"/>
      <c r="F22" s="27"/>
      <c r="G22" s="28"/>
      <c r="H22" s="28"/>
      <c r="I22" s="28"/>
      <c r="L22" s="30"/>
    </row>
    <row r="23" customFormat="false" ht="15.75" hidden="false" customHeight="false" outlineLevel="0" collapsed="false">
      <c r="A23" s="31"/>
      <c r="B23" s="269"/>
      <c r="C23" s="269"/>
      <c r="D23" s="269"/>
      <c r="E23" s="269"/>
      <c r="F23" s="269"/>
      <c r="G23" s="269"/>
      <c r="H23" s="269"/>
      <c r="I23" s="269"/>
    </row>
    <row r="24" customFormat="false" ht="15.75" hidden="false" customHeight="false" outlineLevel="0" collapsed="false">
      <c r="A24" s="33" t="s">
        <v>22</v>
      </c>
      <c r="B24" s="33"/>
      <c r="C24" s="33"/>
      <c r="D24" s="33"/>
      <c r="E24" s="33"/>
      <c r="F24" s="33"/>
      <c r="G24" s="33"/>
      <c r="H24" s="33"/>
      <c r="I24" s="33"/>
    </row>
    <row r="25" customFormat="false" ht="15.75" hidden="false" customHeight="false" outlineLevel="0" collapsed="false">
      <c r="A25" s="34" t="s">
        <v>23</v>
      </c>
      <c r="B25" s="34"/>
      <c r="C25" s="34"/>
      <c r="D25" s="34"/>
      <c r="E25" s="34"/>
      <c r="F25" s="34"/>
      <c r="G25" s="34"/>
      <c r="H25" s="34"/>
      <c r="I25" s="34"/>
    </row>
    <row r="26" customFormat="false" ht="15.75" hidden="false" customHeight="false" outlineLevel="0" collapsed="false">
      <c r="A26" s="35" t="s">
        <v>24</v>
      </c>
      <c r="B26" s="35"/>
      <c r="C26" s="35"/>
      <c r="D26" s="35"/>
      <c r="E26" s="35"/>
      <c r="F26" s="35"/>
      <c r="G26" s="35"/>
      <c r="H26" s="35"/>
      <c r="I26" s="35"/>
    </row>
    <row r="27" customFormat="false" ht="15.75" hidden="false" customHeight="true" outlineLevel="0" collapsed="false">
      <c r="A27" s="14" t="n">
        <v>1</v>
      </c>
      <c r="B27" s="36" t="s">
        <v>25</v>
      </c>
      <c r="C27" s="36"/>
      <c r="D27" s="36"/>
      <c r="E27" s="36"/>
      <c r="F27" s="36"/>
      <c r="G27" s="36"/>
      <c r="H27" s="36"/>
      <c r="I27" s="37" t="s">
        <v>26</v>
      </c>
    </row>
    <row r="28" customFormat="false" ht="15.75" hidden="false" customHeight="true" outlineLevel="0" collapsed="false">
      <c r="A28" s="14" t="n">
        <v>2</v>
      </c>
      <c r="B28" s="38" t="s">
        <v>27</v>
      </c>
      <c r="C28" s="38"/>
      <c r="D28" s="38"/>
      <c r="E28" s="38"/>
      <c r="F28" s="38"/>
      <c r="G28" s="38"/>
      <c r="H28" s="38"/>
      <c r="I28" s="308" t="n">
        <f aca="false">Dados!B2</f>
        <v>1305.17</v>
      </c>
    </row>
    <row r="29" customFormat="false" ht="15.75" hidden="false" customHeight="true" outlineLevel="0" collapsed="false">
      <c r="A29" s="14" t="n">
        <v>3</v>
      </c>
      <c r="B29" s="38" t="s">
        <v>28</v>
      </c>
      <c r="C29" s="38"/>
      <c r="D29" s="38"/>
      <c r="E29" s="38"/>
      <c r="F29" s="38"/>
      <c r="G29" s="38"/>
      <c r="H29" s="38"/>
      <c r="I29" s="308" t="s">
        <v>188</v>
      </c>
    </row>
    <row r="30" customFormat="false" ht="15.75" hidden="false" customHeight="true" outlineLevel="0" collapsed="false">
      <c r="A30" s="40" t="n">
        <v>4</v>
      </c>
      <c r="B30" s="41" t="s">
        <v>29</v>
      </c>
      <c r="C30" s="41"/>
      <c r="D30" s="41"/>
      <c r="E30" s="41"/>
      <c r="F30" s="41"/>
      <c r="G30" s="41"/>
      <c r="H30" s="41"/>
      <c r="I30" s="311" t="n">
        <v>42005</v>
      </c>
    </row>
    <row r="31" customFormat="false" ht="15.75" hidden="false" customHeight="true" outlineLevel="0" collapsed="false">
      <c r="A31" s="40" t="n">
        <v>5</v>
      </c>
      <c r="B31" s="38" t="s">
        <v>30</v>
      </c>
      <c r="C31" s="38"/>
      <c r="D31" s="38"/>
      <c r="E31" s="38"/>
      <c r="F31" s="38"/>
      <c r="G31" s="38"/>
      <c r="H31" s="38"/>
      <c r="I31" s="311" t="n">
        <f aca="false">I28/220</f>
        <v>5.93259090909091</v>
      </c>
    </row>
    <row r="32" customFormat="false" ht="15.75" hidden="false" customHeight="true" outlineLevel="0" collapsed="false">
      <c r="A32" s="40" t="n">
        <v>6</v>
      </c>
      <c r="B32" s="38" t="s">
        <v>31</v>
      </c>
      <c r="C32" s="38"/>
      <c r="D32" s="38"/>
      <c r="E32" s="38"/>
      <c r="F32" s="38"/>
      <c r="G32" s="38"/>
      <c r="H32" s="38"/>
      <c r="I32" s="311" t="n">
        <v>8.50677272727273</v>
      </c>
    </row>
    <row r="33" customFormat="false" ht="16.5" hidden="false" customHeight="true" outlineLevel="0" collapsed="false">
      <c r="A33" s="20" t="n">
        <v>7</v>
      </c>
      <c r="B33" s="44" t="s">
        <v>32</v>
      </c>
      <c r="C33" s="44"/>
      <c r="D33" s="44"/>
      <c r="E33" s="44"/>
      <c r="F33" s="44"/>
      <c r="G33" s="44"/>
      <c r="H33" s="44"/>
      <c r="I33" s="309" t="n">
        <f aca="false">I31*0.2</f>
        <v>1.18651818181818</v>
      </c>
    </row>
    <row r="34" customFormat="false" ht="15.75" hidden="false" customHeight="false" outlineLevel="0" collapsed="false">
      <c r="A34" s="271"/>
      <c r="B34" s="271"/>
      <c r="C34" s="271"/>
      <c r="D34" s="271"/>
      <c r="E34" s="271"/>
      <c r="F34" s="271"/>
      <c r="G34" s="271"/>
      <c r="H34" s="271"/>
      <c r="I34" s="271"/>
    </row>
    <row r="35" customFormat="false" ht="15.75" hidden="false" customHeight="false" outlineLevel="0" collapsed="false">
      <c r="A35" s="47" t="s">
        <v>33</v>
      </c>
      <c r="B35" s="47"/>
      <c r="C35" s="47"/>
      <c r="D35" s="47"/>
      <c r="E35" s="47"/>
      <c r="F35" s="47"/>
      <c r="G35" s="47"/>
      <c r="H35" s="47"/>
      <c r="I35" s="47"/>
    </row>
    <row r="36" customFormat="false" ht="15.75" hidden="false" customHeight="false" outlineLevel="0" collapsed="false">
      <c r="A36" s="48" t="n">
        <v>1</v>
      </c>
      <c r="B36" s="49" t="s">
        <v>34</v>
      </c>
      <c r="C36" s="49"/>
      <c r="D36" s="49"/>
      <c r="E36" s="49"/>
      <c r="F36" s="49"/>
      <c r="G36" s="49"/>
      <c r="H36" s="49"/>
      <c r="I36" s="204" t="s">
        <v>35</v>
      </c>
      <c r="L36" s="51"/>
    </row>
    <row r="37" customFormat="false" ht="15.75" hidden="false" customHeight="false" outlineLevel="0" collapsed="false">
      <c r="A37" s="17" t="s">
        <v>8</v>
      </c>
      <c r="B37" s="52" t="s">
        <v>210</v>
      </c>
      <c r="C37" s="52"/>
      <c r="D37" s="52"/>
      <c r="E37" s="52"/>
      <c r="F37" s="52"/>
      <c r="G37" s="52"/>
      <c r="H37" s="52"/>
      <c r="I37" s="207" t="n">
        <f aca="false">ROUND(I28*2,2)</f>
        <v>2610.34</v>
      </c>
      <c r="L37" s="51"/>
    </row>
    <row r="38" customFormat="false" ht="45.75" hidden="false" customHeight="true" outlineLevel="0" collapsed="false">
      <c r="A38" s="17" t="s">
        <v>10</v>
      </c>
      <c r="B38" s="54" t="s">
        <v>41</v>
      </c>
      <c r="C38" s="54"/>
      <c r="D38" s="54"/>
      <c r="E38" s="54"/>
      <c r="F38" s="54"/>
      <c r="G38" s="54"/>
      <c r="H38" s="54"/>
      <c r="I38" s="207"/>
      <c r="L38" s="57"/>
    </row>
    <row r="39" customFormat="false" ht="18" hidden="false" customHeight="true" outlineLevel="0" collapsed="false">
      <c r="A39" s="17" t="s">
        <v>12</v>
      </c>
      <c r="B39" s="58" t="s">
        <v>43</v>
      </c>
      <c r="C39" s="58"/>
      <c r="D39" s="58"/>
      <c r="E39" s="58"/>
      <c r="F39" s="58"/>
      <c r="G39" s="58"/>
      <c r="H39" s="58"/>
      <c r="I39" s="207"/>
      <c r="K39" s="59"/>
    </row>
    <row r="40" customFormat="false" ht="31.5" hidden="false" customHeight="true" outlineLevel="0" collapsed="false">
      <c r="A40" s="17" t="s">
        <v>14</v>
      </c>
      <c r="B40" s="54" t="s">
        <v>211</v>
      </c>
      <c r="C40" s="54"/>
      <c r="D40" s="54"/>
      <c r="E40" s="54"/>
      <c r="F40" s="54"/>
      <c r="G40" s="54"/>
      <c r="H40" s="54"/>
      <c r="I40" s="216" t="n">
        <v>210.4</v>
      </c>
      <c r="K40" s="59"/>
    </row>
    <row r="41" customFormat="false" ht="15.75" hidden="false" customHeight="false" outlineLevel="0" collapsed="false">
      <c r="A41" s="60" t="s">
        <v>44</v>
      </c>
      <c r="B41" s="60"/>
      <c r="C41" s="60"/>
      <c r="D41" s="60"/>
      <c r="E41" s="60"/>
      <c r="F41" s="60"/>
      <c r="G41" s="60"/>
      <c r="H41" s="60"/>
      <c r="I41" s="210" t="n">
        <f aca="false">SUM(I37:I39)</f>
        <v>2610.34</v>
      </c>
    </row>
    <row r="42" customFormat="false" ht="15.75" hidden="false" customHeight="false" outlineLevel="0" collapsed="false">
      <c r="A42" s="47" t="s">
        <v>45</v>
      </c>
      <c r="B42" s="47"/>
      <c r="C42" s="47"/>
      <c r="D42" s="47"/>
      <c r="E42" s="47"/>
      <c r="F42" s="47"/>
      <c r="G42" s="47"/>
      <c r="H42" s="47"/>
      <c r="I42" s="47"/>
    </row>
    <row r="43" customFormat="false" ht="15.75" hidden="false" customHeight="false" outlineLevel="0" collapsed="false">
      <c r="A43" s="62" t="n">
        <v>2</v>
      </c>
      <c r="B43" s="63" t="s">
        <v>46</v>
      </c>
      <c r="C43" s="63"/>
      <c r="D43" s="63"/>
      <c r="E43" s="63"/>
      <c r="F43" s="63"/>
      <c r="G43" s="63"/>
      <c r="H43" s="63"/>
      <c r="I43" s="204" t="s">
        <v>35</v>
      </c>
    </row>
    <row r="44" customFormat="false" ht="32.25" hidden="false" customHeight="true" outlineLevel="0" collapsed="false">
      <c r="A44" s="64" t="s">
        <v>8</v>
      </c>
      <c r="B44" s="54" t="s">
        <v>212</v>
      </c>
      <c r="C44" s="54"/>
      <c r="D44" s="54"/>
      <c r="E44" s="54"/>
      <c r="F44" s="54"/>
      <c r="G44" s="54"/>
      <c r="H44" s="54"/>
      <c r="I44" s="312" t="n">
        <f aca="false">ROUND(((2*H46*H45*15)+(1*H46*H45*30))-(0.06*(I37+I31*30)),2)</f>
        <v>192.7</v>
      </c>
      <c r="L44" s="66"/>
    </row>
    <row r="45" customFormat="false" ht="32.25" hidden="false" customHeight="true" outlineLevel="0" collapsed="false">
      <c r="A45" s="64"/>
      <c r="B45" s="277" t="s">
        <v>213</v>
      </c>
      <c r="C45" s="277"/>
      <c r="D45" s="277"/>
      <c r="E45" s="277"/>
      <c r="F45" s="277"/>
      <c r="G45" s="277"/>
      <c r="H45" s="278" t="n">
        <f aca="false">Dados!B9</f>
        <v>3</v>
      </c>
      <c r="I45" s="312"/>
    </row>
    <row r="46" customFormat="false" ht="15.75" hidden="false" customHeight="false" outlineLevel="0" collapsed="false">
      <c r="A46" s="64"/>
      <c r="B46" s="69" t="s">
        <v>49</v>
      </c>
      <c r="C46" s="69"/>
      <c r="D46" s="69"/>
      <c r="E46" s="69"/>
      <c r="F46" s="69"/>
      <c r="G46" s="69"/>
      <c r="H46" s="70" t="n">
        <v>2</v>
      </c>
      <c r="I46" s="312" t="n">
        <v>0</v>
      </c>
    </row>
    <row r="47" customFormat="false" ht="18.75" hidden="false" customHeight="true" outlineLevel="0" collapsed="false">
      <c r="A47" s="64" t="s">
        <v>10</v>
      </c>
      <c r="B47" s="54" t="s">
        <v>50</v>
      </c>
      <c r="C47" s="54"/>
      <c r="D47" s="54"/>
      <c r="E47" s="54"/>
      <c r="F47" s="54"/>
      <c r="G47" s="54"/>
      <c r="H47" s="54"/>
      <c r="I47" s="312" t="n">
        <f aca="false">ROUND((2*15*H48)*(1-0.18),2)</f>
        <v>411.56</v>
      </c>
    </row>
    <row r="48" customFormat="false" ht="15.75" hidden="false" customHeight="false" outlineLevel="0" collapsed="false">
      <c r="A48" s="64"/>
      <c r="B48" s="69" t="s">
        <v>51</v>
      </c>
      <c r="C48" s="69"/>
      <c r="D48" s="69"/>
      <c r="E48" s="69"/>
      <c r="F48" s="69"/>
      <c r="G48" s="69"/>
      <c r="H48" s="280" t="n">
        <f aca="false">Dados!B3</f>
        <v>16.73</v>
      </c>
      <c r="I48" s="223"/>
    </row>
    <row r="49" customFormat="false" ht="30" hidden="false" customHeight="true" outlineLevel="0" collapsed="false">
      <c r="A49" s="17" t="s">
        <v>12</v>
      </c>
      <c r="B49" s="58" t="s">
        <v>214</v>
      </c>
      <c r="C49" s="58"/>
      <c r="D49" s="58"/>
      <c r="E49" s="58"/>
      <c r="F49" s="58"/>
      <c r="G49" s="58"/>
      <c r="H49" s="58"/>
      <c r="I49" s="312" t="n">
        <f aca="false">ROUND(Dados!B5*(2+1),2)</f>
        <v>45.06</v>
      </c>
    </row>
    <row r="50" customFormat="false" ht="15.75" hidden="false" customHeight="false" outlineLevel="0" collapsed="false">
      <c r="A50" s="60" t="s">
        <v>53</v>
      </c>
      <c r="B50" s="60"/>
      <c r="C50" s="60"/>
      <c r="D50" s="60"/>
      <c r="E50" s="60"/>
      <c r="F50" s="60"/>
      <c r="G50" s="60"/>
      <c r="H50" s="60"/>
      <c r="I50" s="210" t="n">
        <f aca="false">SUM(I44:I49)</f>
        <v>649.32</v>
      </c>
    </row>
    <row r="51" customFormat="false" ht="15.75" hidden="false" customHeight="false" outlineLevel="0" collapsed="false">
      <c r="A51" s="73" t="s">
        <v>54</v>
      </c>
      <c r="B51" s="73"/>
      <c r="C51" s="73"/>
      <c r="D51" s="73"/>
      <c r="E51" s="73"/>
      <c r="F51" s="73"/>
      <c r="G51" s="73"/>
      <c r="H51" s="73"/>
      <c r="I51" s="73"/>
    </row>
    <row r="52" customFormat="false" ht="15.75" hidden="false" customHeight="false" outlineLevel="0" collapsed="false">
      <c r="A52" s="47" t="s">
        <v>55</v>
      </c>
      <c r="B52" s="47"/>
      <c r="C52" s="47"/>
      <c r="D52" s="47"/>
      <c r="E52" s="47"/>
      <c r="F52" s="47"/>
      <c r="G52" s="47"/>
      <c r="H52" s="47"/>
      <c r="I52" s="47"/>
    </row>
    <row r="53" customFormat="false" ht="15.75" hidden="false" customHeight="false" outlineLevel="0" collapsed="false">
      <c r="A53" s="62" t="n">
        <v>3</v>
      </c>
      <c r="B53" s="63" t="s">
        <v>56</v>
      </c>
      <c r="C53" s="63"/>
      <c r="D53" s="63"/>
      <c r="E53" s="63"/>
      <c r="F53" s="63"/>
      <c r="G53" s="63"/>
      <c r="H53" s="63"/>
      <c r="I53" s="204" t="s">
        <v>35</v>
      </c>
    </row>
    <row r="54" customFormat="false" ht="15.75" hidden="false" customHeight="false" outlineLevel="0" collapsed="false">
      <c r="A54" s="64" t="s">
        <v>8</v>
      </c>
      <c r="B54" s="74" t="s">
        <v>215</v>
      </c>
      <c r="C54" s="74"/>
      <c r="D54" s="74"/>
      <c r="E54" s="74"/>
      <c r="F54" s="74"/>
      <c r="G54" s="74"/>
      <c r="H54" s="74"/>
      <c r="I54" s="75" t="n">
        <f aca="false">Dados!D6*(2+1)</f>
        <v>206.514375</v>
      </c>
      <c r="J54" s="76"/>
      <c r="K54" s="77"/>
    </row>
    <row r="55" customFormat="false" ht="15.75" hidden="false" customHeight="false" outlineLevel="0" collapsed="false">
      <c r="A55" s="60" t="s">
        <v>58</v>
      </c>
      <c r="B55" s="60"/>
      <c r="C55" s="60"/>
      <c r="D55" s="60"/>
      <c r="E55" s="60"/>
      <c r="F55" s="60"/>
      <c r="G55" s="60"/>
      <c r="H55" s="60"/>
      <c r="I55" s="78" t="n">
        <f aca="false">SUM(I54:I54)</f>
        <v>206.514375</v>
      </c>
    </row>
    <row r="56" customFormat="false" ht="15.75" hidden="false" customHeight="false" outlineLevel="0" collapsed="false">
      <c r="A56" s="47" t="s">
        <v>59</v>
      </c>
      <c r="B56" s="47"/>
      <c r="C56" s="47"/>
      <c r="D56" s="47"/>
      <c r="E56" s="47"/>
      <c r="F56" s="47"/>
      <c r="G56" s="47"/>
      <c r="H56" s="47"/>
      <c r="I56" s="47"/>
    </row>
    <row r="57" customFormat="false" ht="15.75" hidden="false" customHeight="false" outlineLevel="0" collapsed="false">
      <c r="A57" s="79" t="s">
        <v>60</v>
      </c>
      <c r="B57" s="79"/>
      <c r="C57" s="79"/>
      <c r="D57" s="79"/>
      <c r="E57" s="79"/>
      <c r="F57" s="79"/>
      <c r="G57" s="79"/>
      <c r="H57" s="79"/>
      <c r="I57" s="79"/>
    </row>
    <row r="58" customFormat="false" ht="15.75" hidden="false" customHeight="false" outlineLevel="0" collapsed="false">
      <c r="A58" s="62" t="s">
        <v>61</v>
      </c>
      <c r="B58" s="80" t="s">
        <v>62</v>
      </c>
      <c r="C58" s="80"/>
      <c r="D58" s="80"/>
      <c r="E58" s="80"/>
      <c r="F58" s="80"/>
      <c r="G58" s="80"/>
      <c r="H58" s="81" t="s">
        <v>63</v>
      </c>
      <c r="I58" s="204" t="s">
        <v>35</v>
      </c>
    </row>
    <row r="59" customFormat="false" ht="15.75" hidden="false" customHeight="false" outlineLevel="0" collapsed="false">
      <c r="A59" s="82" t="s">
        <v>8</v>
      </c>
      <c r="B59" s="83" t="s">
        <v>64</v>
      </c>
      <c r="C59" s="83"/>
      <c r="D59" s="83"/>
      <c r="E59" s="83"/>
      <c r="F59" s="83"/>
      <c r="G59" s="83"/>
      <c r="H59" s="84" t="n">
        <v>0.2</v>
      </c>
      <c r="I59" s="207" t="n">
        <f aca="false">ROUND($I$41*H59,2)</f>
        <v>522.07</v>
      </c>
      <c r="K59" s="66"/>
    </row>
    <row r="60" customFormat="false" ht="15.75" hidden="false" customHeight="false" outlineLevel="0" collapsed="false">
      <c r="A60" s="82" t="s">
        <v>10</v>
      </c>
      <c r="B60" s="83" t="s">
        <v>65</v>
      </c>
      <c r="C60" s="83"/>
      <c r="D60" s="83"/>
      <c r="E60" s="83"/>
      <c r="F60" s="83"/>
      <c r="G60" s="83"/>
      <c r="H60" s="85" t="n">
        <v>0.015</v>
      </c>
      <c r="I60" s="207" t="n">
        <f aca="false">ROUND($I$41*H60,2)</f>
        <v>39.16</v>
      </c>
      <c r="K60" s="66"/>
    </row>
    <row r="61" customFormat="false" ht="15.75" hidden="false" customHeight="false" outlineLevel="0" collapsed="false">
      <c r="A61" s="82" t="s">
        <v>12</v>
      </c>
      <c r="B61" s="83" t="s">
        <v>66</v>
      </c>
      <c r="C61" s="83"/>
      <c r="D61" s="83"/>
      <c r="E61" s="83"/>
      <c r="F61" s="83"/>
      <c r="G61" s="83"/>
      <c r="H61" s="84" t="n">
        <v>0.01</v>
      </c>
      <c r="I61" s="207" t="n">
        <f aca="false">ROUND($I$41*H61,2)</f>
        <v>26.1</v>
      </c>
      <c r="K61" s="66"/>
    </row>
    <row r="62" customFormat="false" ht="15.75" hidden="false" customHeight="false" outlineLevel="0" collapsed="false">
      <c r="A62" s="82" t="s">
        <v>14</v>
      </c>
      <c r="B62" s="83" t="s">
        <v>67</v>
      </c>
      <c r="C62" s="83"/>
      <c r="D62" s="83"/>
      <c r="E62" s="83"/>
      <c r="F62" s="83"/>
      <c r="G62" s="83"/>
      <c r="H62" s="86" t="n">
        <v>0.002</v>
      </c>
      <c r="I62" s="207" t="n">
        <f aca="false">ROUND($I$41*H62,2)</f>
        <v>5.22</v>
      </c>
      <c r="K62" s="66"/>
    </row>
    <row r="63" customFormat="false" ht="15.75" hidden="false" customHeight="false" outlineLevel="0" collapsed="false">
      <c r="A63" s="82" t="s">
        <v>40</v>
      </c>
      <c r="B63" s="83" t="s">
        <v>68</v>
      </c>
      <c r="C63" s="83"/>
      <c r="D63" s="83"/>
      <c r="E63" s="83"/>
      <c r="F63" s="83"/>
      <c r="G63" s="83"/>
      <c r="H63" s="86" t="n">
        <v>0.025</v>
      </c>
      <c r="I63" s="207" t="n">
        <f aca="false">ROUND($I$41*H63,2)</f>
        <v>65.26</v>
      </c>
      <c r="K63" s="66"/>
    </row>
    <row r="64" customFormat="false" ht="15.75" hidden="false" customHeight="false" outlineLevel="0" collapsed="false">
      <c r="A64" s="82" t="s">
        <v>42</v>
      </c>
      <c r="B64" s="83" t="s">
        <v>69</v>
      </c>
      <c r="C64" s="83"/>
      <c r="D64" s="83"/>
      <c r="E64" s="83"/>
      <c r="F64" s="83"/>
      <c r="G64" s="83"/>
      <c r="H64" s="84" t="n">
        <v>0.08</v>
      </c>
      <c r="I64" s="207" t="n">
        <f aca="false">ROUND($I$41*H64,2)</f>
        <v>208.83</v>
      </c>
      <c r="K64" s="66"/>
    </row>
    <row r="65" customFormat="false" ht="15.75" hidden="false" customHeight="false" outlineLevel="0" collapsed="false">
      <c r="A65" s="82" t="s">
        <v>70</v>
      </c>
      <c r="B65" s="87" t="s">
        <v>71</v>
      </c>
      <c r="C65" s="87"/>
      <c r="D65" s="87"/>
      <c r="E65" s="87"/>
      <c r="F65" s="88" t="s">
        <v>72</v>
      </c>
      <c r="G65" s="89" t="s">
        <v>196</v>
      </c>
      <c r="H65" s="86" t="n">
        <v>0.015</v>
      </c>
      <c r="I65" s="207" t="n">
        <f aca="false">ROUND($I$41*H65,2)</f>
        <v>39.16</v>
      </c>
      <c r="K65" s="66"/>
    </row>
    <row r="66" customFormat="false" ht="15.75" hidden="false" customHeight="false" outlineLevel="0" collapsed="false">
      <c r="A66" s="82" t="s">
        <v>74</v>
      </c>
      <c r="B66" s="83" t="s">
        <v>75</v>
      </c>
      <c r="C66" s="83"/>
      <c r="D66" s="83"/>
      <c r="E66" s="83"/>
      <c r="F66" s="83"/>
      <c r="G66" s="83"/>
      <c r="H66" s="86" t="n">
        <v>0.006</v>
      </c>
      <c r="I66" s="207" t="n">
        <f aca="false">ROUND($I$41*H66,2)</f>
        <v>15.66</v>
      </c>
      <c r="K66" s="66"/>
    </row>
    <row r="67" customFormat="false" ht="15.75" hidden="false" customHeight="false" outlineLevel="0" collapsed="false">
      <c r="A67" s="90" t="s">
        <v>76</v>
      </c>
      <c r="B67" s="90"/>
      <c r="C67" s="90"/>
      <c r="D67" s="90"/>
      <c r="E67" s="90"/>
      <c r="F67" s="90"/>
      <c r="G67" s="90"/>
      <c r="H67" s="91" t="n">
        <f aca="false">SUM(H59:H66)</f>
        <v>0.353</v>
      </c>
      <c r="I67" s="219" t="n">
        <f aca="false">SUM(I59:I66)</f>
        <v>921.46</v>
      </c>
      <c r="K67" s="66"/>
    </row>
    <row r="68" customFormat="false" ht="15.75" hidden="false" customHeight="false" outlineLevel="0" collapsed="false">
      <c r="A68" s="93" t="s">
        <v>77</v>
      </c>
      <c r="B68" s="93"/>
      <c r="C68" s="93"/>
      <c r="D68" s="93"/>
      <c r="E68" s="93"/>
      <c r="F68" s="93"/>
      <c r="G68" s="93"/>
      <c r="H68" s="93"/>
      <c r="I68" s="93"/>
    </row>
    <row r="69" customFormat="false" ht="15.75" hidden="false" customHeight="false" outlineLevel="0" collapsed="false">
      <c r="A69" s="94" t="s">
        <v>78</v>
      </c>
      <c r="B69" s="94"/>
      <c r="C69" s="94"/>
      <c r="D69" s="94"/>
      <c r="E69" s="94"/>
      <c r="F69" s="94"/>
      <c r="G69" s="94"/>
      <c r="H69" s="94"/>
      <c r="I69" s="94"/>
    </row>
    <row r="70" customFormat="false" ht="15.75" hidden="false" customHeight="false" outlineLevel="0" collapsed="false">
      <c r="A70" s="79" t="s">
        <v>79</v>
      </c>
      <c r="B70" s="79"/>
      <c r="C70" s="79"/>
      <c r="D70" s="79"/>
      <c r="E70" s="79"/>
      <c r="F70" s="79"/>
      <c r="G70" s="79"/>
      <c r="H70" s="79"/>
      <c r="I70" s="79"/>
    </row>
    <row r="71" customFormat="false" ht="15.75" hidden="false" customHeight="false" outlineLevel="0" collapsed="false">
      <c r="A71" s="62" t="s">
        <v>80</v>
      </c>
      <c r="B71" s="81" t="s">
        <v>81</v>
      </c>
      <c r="C71" s="81"/>
      <c r="D71" s="81"/>
      <c r="E71" s="81"/>
      <c r="F71" s="81"/>
      <c r="G71" s="81"/>
      <c r="H71" s="81"/>
      <c r="I71" s="204" t="s">
        <v>35</v>
      </c>
    </row>
    <row r="72" customFormat="false" ht="34.5" hidden="false" customHeight="true" outlineLevel="0" collapsed="false">
      <c r="A72" s="17" t="s">
        <v>8</v>
      </c>
      <c r="B72" s="95" t="s">
        <v>82</v>
      </c>
      <c r="C72" s="95"/>
      <c r="D72" s="95"/>
      <c r="E72" s="95"/>
      <c r="F72" s="95"/>
      <c r="G72" s="95"/>
      <c r="H72" s="95"/>
      <c r="I72" s="220" t="n">
        <f aca="false">ROUND(I41/12,2)</f>
        <v>217.53</v>
      </c>
      <c r="K72" s="66"/>
    </row>
    <row r="73" customFormat="false" ht="15.75" hidden="false" customHeight="false" outlineLevel="0" collapsed="false">
      <c r="A73" s="97" t="s">
        <v>83</v>
      </c>
      <c r="B73" s="97"/>
      <c r="C73" s="97"/>
      <c r="D73" s="97"/>
      <c r="E73" s="97"/>
      <c r="F73" s="97"/>
      <c r="G73" s="97"/>
      <c r="H73" s="97"/>
      <c r="I73" s="207" t="n">
        <f aca="false">SUM(I72:I72)</f>
        <v>217.53</v>
      </c>
      <c r="K73" s="66"/>
    </row>
    <row r="74" customFormat="false" ht="15.75" hidden="false" customHeight="false" outlineLevel="0" collapsed="false">
      <c r="A74" s="17" t="s">
        <v>10</v>
      </c>
      <c r="B74" s="83" t="s">
        <v>84</v>
      </c>
      <c r="C74" s="83"/>
      <c r="D74" s="83"/>
      <c r="E74" s="83"/>
      <c r="F74" s="83"/>
      <c r="G74" s="83"/>
      <c r="H74" s="83"/>
      <c r="I74" s="207" t="n">
        <f aca="false">ROUND(I73*H67,2)</f>
        <v>76.79</v>
      </c>
      <c r="K74" s="66"/>
    </row>
    <row r="75" customFormat="false" ht="15.75" hidden="false" customHeight="false" outlineLevel="0" collapsed="false">
      <c r="A75" s="60" t="s">
        <v>76</v>
      </c>
      <c r="B75" s="60"/>
      <c r="C75" s="60"/>
      <c r="D75" s="60"/>
      <c r="E75" s="60"/>
      <c r="F75" s="60"/>
      <c r="G75" s="60"/>
      <c r="H75" s="60"/>
      <c r="I75" s="210" t="n">
        <f aca="false">SUM(I73:I74)</f>
        <v>294.32</v>
      </c>
      <c r="K75" s="66"/>
    </row>
    <row r="76" customFormat="false" ht="15.75" hidden="false" customHeight="false" outlineLevel="0" collapsed="false">
      <c r="A76" s="79" t="s">
        <v>85</v>
      </c>
      <c r="B76" s="79"/>
      <c r="C76" s="79"/>
      <c r="D76" s="79"/>
      <c r="E76" s="79"/>
      <c r="F76" s="79"/>
      <c r="G76" s="79"/>
      <c r="H76" s="79"/>
      <c r="I76" s="79"/>
    </row>
    <row r="77" customFormat="false" ht="15.75" hidden="false" customHeight="false" outlineLevel="0" collapsed="false">
      <c r="A77" s="62" t="s">
        <v>86</v>
      </c>
      <c r="B77" s="81" t="s">
        <v>87</v>
      </c>
      <c r="C77" s="81"/>
      <c r="D77" s="81"/>
      <c r="E77" s="81"/>
      <c r="F77" s="81"/>
      <c r="G77" s="81"/>
      <c r="H77" s="81"/>
      <c r="I77" s="204" t="s">
        <v>35</v>
      </c>
    </row>
    <row r="78" customFormat="false" ht="15.75" hidden="false" customHeight="false" outlineLevel="0" collapsed="false">
      <c r="A78" s="17" t="s">
        <v>8</v>
      </c>
      <c r="B78" s="52" t="s">
        <v>88</v>
      </c>
      <c r="C78" s="52"/>
      <c r="D78" s="52"/>
      <c r="E78" s="52"/>
      <c r="F78" s="52"/>
      <c r="G78" s="52"/>
      <c r="H78" s="52"/>
      <c r="I78" s="75" t="n">
        <f aca="false">ROUND((((I41+I41/3)*(4/12))/12)*0.02,2)</f>
        <v>1.93</v>
      </c>
    </row>
    <row r="79" customFormat="false" ht="15.75" hidden="false" customHeight="false" outlineLevel="0" collapsed="false">
      <c r="A79" s="17" t="s">
        <v>10</v>
      </c>
      <c r="B79" s="83" t="s">
        <v>89</v>
      </c>
      <c r="C79" s="83"/>
      <c r="D79" s="83"/>
      <c r="E79" s="83"/>
      <c r="F79" s="83"/>
      <c r="G79" s="83"/>
      <c r="H79" s="83"/>
      <c r="I79" s="75" t="n">
        <f aca="false">ROUND(I78*H67,2)</f>
        <v>0.68</v>
      </c>
    </row>
    <row r="80" customFormat="false" ht="15.75" hidden="false" customHeight="false" outlineLevel="0" collapsed="false">
      <c r="A80" s="60" t="s">
        <v>76</v>
      </c>
      <c r="B80" s="60"/>
      <c r="C80" s="60"/>
      <c r="D80" s="60"/>
      <c r="E80" s="60"/>
      <c r="F80" s="60"/>
      <c r="G80" s="60"/>
      <c r="H80" s="60"/>
      <c r="I80" s="210" t="n">
        <f aca="false">SUM(I78:I79)</f>
        <v>2.61</v>
      </c>
    </row>
    <row r="81" customFormat="false" ht="15.75" hidden="false" customHeight="false" outlineLevel="0" collapsed="false">
      <c r="A81" s="79" t="s">
        <v>90</v>
      </c>
      <c r="B81" s="79"/>
      <c r="C81" s="79"/>
      <c r="D81" s="79"/>
      <c r="E81" s="79"/>
      <c r="F81" s="79"/>
      <c r="G81" s="79"/>
      <c r="H81" s="79"/>
      <c r="I81" s="79"/>
    </row>
    <row r="82" customFormat="false" ht="15.75" hidden="false" customHeight="false" outlineLevel="0" collapsed="false">
      <c r="A82" s="62" t="s">
        <v>91</v>
      </c>
      <c r="B82" s="81" t="s">
        <v>92</v>
      </c>
      <c r="C82" s="81"/>
      <c r="D82" s="81"/>
      <c r="E82" s="81"/>
      <c r="F82" s="81"/>
      <c r="G82" s="81"/>
      <c r="H82" s="81"/>
      <c r="I82" s="204" t="s">
        <v>35</v>
      </c>
    </row>
    <row r="83" customFormat="false" ht="25.5" hidden="false" customHeight="true" outlineLevel="0" collapsed="false">
      <c r="A83" s="17" t="s">
        <v>8</v>
      </c>
      <c r="B83" s="99" t="s">
        <v>93</v>
      </c>
      <c r="C83" s="99"/>
      <c r="D83" s="99"/>
      <c r="E83" s="99"/>
      <c r="F83" s="99"/>
      <c r="G83" s="99"/>
      <c r="H83" s="99"/>
      <c r="I83" s="207" t="n">
        <f aca="false">ROUND((I41/12)*(30/30)*0.05,2)</f>
        <v>10.88</v>
      </c>
    </row>
    <row r="84" customFormat="false" ht="15.75" hidden="false" customHeight="true" outlineLevel="0" collapsed="false">
      <c r="A84" s="17" t="s">
        <v>10</v>
      </c>
      <c r="B84" s="83" t="s">
        <v>94</v>
      </c>
      <c r="C84" s="83"/>
      <c r="D84" s="83"/>
      <c r="E84" s="83"/>
      <c r="F84" s="83"/>
      <c r="G84" s="83"/>
      <c r="H84" s="83"/>
      <c r="I84" s="207" t="n">
        <f aca="false">ROUND(I83*H64,2)</f>
        <v>0.87</v>
      </c>
    </row>
    <row r="85" customFormat="false" ht="49.5" hidden="false" customHeight="true" outlineLevel="0" collapsed="false">
      <c r="A85" s="17" t="s">
        <v>12</v>
      </c>
      <c r="B85" s="95" t="s">
        <v>95</v>
      </c>
      <c r="C85" s="95"/>
      <c r="D85" s="95"/>
      <c r="E85" s="95"/>
      <c r="F85" s="95"/>
      <c r="G85" s="95"/>
      <c r="H85" s="95"/>
      <c r="I85" s="220" t="n">
        <f aca="false">ROUND(0.0024*I41,2)</f>
        <v>6.26</v>
      </c>
      <c r="K85" s="66"/>
    </row>
    <row r="86" customFormat="false" ht="30.75" hidden="false" customHeight="true" outlineLevel="0" collapsed="false">
      <c r="A86" s="100" t="s">
        <v>14</v>
      </c>
      <c r="B86" s="99" t="s">
        <v>96</v>
      </c>
      <c r="C86" s="99"/>
      <c r="D86" s="99"/>
      <c r="E86" s="99"/>
      <c r="F86" s="99"/>
      <c r="G86" s="99"/>
      <c r="H86" s="99"/>
      <c r="I86" s="207" t="n">
        <f aca="false">ROUND(((I41/30)*7)/12,2)/2</f>
        <v>25.38</v>
      </c>
      <c r="N86" s="101"/>
    </row>
    <row r="87" customFormat="false" ht="18" hidden="false" customHeight="true" outlineLevel="0" collapsed="false">
      <c r="A87" s="17" t="s">
        <v>40</v>
      </c>
      <c r="B87" s="83" t="s">
        <v>97</v>
      </c>
      <c r="C87" s="83"/>
      <c r="D87" s="83"/>
      <c r="E87" s="83"/>
      <c r="F87" s="83"/>
      <c r="G87" s="83"/>
      <c r="H87" s="83"/>
      <c r="I87" s="207" t="n">
        <f aca="false">ROUND(I86*H67,2)</f>
        <v>8.96</v>
      </c>
      <c r="J87" s="13"/>
      <c r="K87" s="13"/>
      <c r="L87" s="102"/>
    </row>
    <row r="88" customFormat="false" ht="48.75" hidden="false" customHeight="true" outlineLevel="0" collapsed="false">
      <c r="A88" s="17" t="s">
        <v>42</v>
      </c>
      <c r="B88" s="95" t="s">
        <v>98</v>
      </c>
      <c r="C88" s="95"/>
      <c r="D88" s="95"/>
      <c r="E88" s="95"/>
      <c r="F88" s="95"/>
      <c r="G88" s="95"/>
      <c r="H88" s="95"/>
      <c r="I88" s="220" t="n">
        <f aca="false">ROUND(0.0476*I41,2)</f>
        <v>124.25</v>
      </c>
      <c r="J88" s="13"/>
      <c r="K88" s="66"/>
      <c r="L88" s="13"/>
    </row>
    <row r="89" customFormat="false" ht="20.25" hidden="false" customHeight="true" outlineLevel="0" collapsed="false">
      <c r="A89" s="60" t="s">
        <v>76</v>
      </c>
      <c r="B89" s="60"/>
      <c r="C89" s="60"/>
      <c r="D89" s="60"/>
      <c r="E89" s="60"/>
      <c r="F89" s="60"/>
      <c r="G89" s="60"/>
      <c r="H89" s="60"/>
      <c r="I89" s="210" t="n">
        <f aca="false">SUM(I83:I88)</f>
        <v>176.6</v>
      </c>
    </row>
    <row r="90" customFormat="false" ht="20.25" hidden="false" customHeight="true" outlineLevel="0" collapsed="false">
      <c r="A90" s="79" t="s">
        <v>99</v>
      </c>
      <c r="B90" s="79"/>
      <c r="C90" s="79"/>
      <c r="D90" s="79"/>
      <c r="E90" s="79"/>
      <c r="F90" s="79"/>
      <c r="G90" s="79"/>
      <c r="H90" s="79"/>
      <c r="I90" s="79"/>
    </row>
    <row r="91" customFormat="false" ht="15.75" hidden="false" customHeight="false" outlineLevel="0" collapsed="false">
      <c r="A91" s="62" t="s">
        <v>100</v>
      </c>
      <c r="B91" s="81" t="s">
        <v>101</v>
      </c>
      <c r="C91" s="81"/>
      <c r="D91" s="81"/>
      <c r="E91" s="81"/>
      <c r="F91" s="81"/>
      <c r="G91" s="81"/>
      <c r="H91" s="81"/>
      <c r="I91" s="204" t="s">
        <v>35</v>
      </c>
    </row>
    <row r="92" customFormat="false" ht="49.5" hidden="false" customHeight="true" outlineLevel="0" collapsed="false">
      <c r="A92" s="17" t="s">
        <v>8</v>
      </c>
      <c r="B92" s="95" t="s">
        <v>102</v>
      </c>
      <c r="C92" s="95"/>
      <c r="D92" s="95"/>
      <c r="E92" s="95"/>
      <c r="F92" s="95"/>
      <c r="G92" s="95"/>
      <c r="H92" s="95"/>
      <c r="I92" s="220" t="n">
        <f aca="false">ROUND(0.121*I41,2)</f>
        <v>315.85</v>
      </c>
      <c r="K92" s="66"/>
    </row>
    <row r="93" customFormat="false" ht="17.25" hidden="false" customHeight="true" outlineLevel="0" collapsed="false">
      <c r="A93" s="17" t="s">
        <v>10</v>
      </c>
      <c r="B93" s="52" t="s">
        <v>103</v>
      </c>
      <c r="C93" s="52"/>
      <c r="D93" s="52"/>
      <c r="E93" s="52"/>
      <c r="F93" s="52"/>
      <c r="G93" s="52"/>
      <c r="H93" s="52"/>
      <c r="I93" s="207" t="n">
        <f aca="false">ROUND(((I41/30)*5)/12,2)</f>
        <v>36.25</v>
      </c>
    </row>
    <row r="94" customFormat="false" ht="16.5" hidden="false" customHeight="true" outlineLevel="0" collapsed="false">
      <c r="A94" s="17" t="s">
        <v>12</v>
      </c>
      <c r="B94" s="52" t="s">
        <v>104</v>
      </c>
      <c r="C94" s="52"/>
      <c r="D94" s="52"/>
      <c r="E94" s="52"/>
      <c r="F94" s="52"/>
      <c r="G94" s="52"/>
      <c r="H94" s="52"/>
      <c r="I94" s="207" t="n">
        <f aca="false">ROUND((((I41/30)*5)/12)*0.015,2)</f>
        <v>0.54</v>
      </c>
    </row>
    <row r="95" customFormat="false" ht="17.25" hidden="false" customHeight="true" outlineLevel="0" collapsed="false">
      <c r="A95" s="17" t="s">
        <v>14</v>
      </c>
      <c r="B95" s="52" t="s">
        <v>105</v>
      </c>
      <c r="C95" s="52"/>
      <c r="D95" s="52"/>
      <c r="E95" s="52"/>
      <c r="F95" s="52"/>
      <c r="G95" s="52"/>
      <c r="H95" s="52"/>
      <c r="I95" s="207" t="n">
        <f aca="false">ROUND(((I41/30)*2.96)/12,2)</f>
        <v>21.46</v>
      </c>
    </row>
    <row r="96" customFormat="false" ht="16.5" hidden="false" customHeight="true" outlineLevel="0" collapsed="false">
      <c r="A96" s="17" t="s">
        <v>40</v>
      </c>
      <c r="B96" s="52" t="s">
        <v>106</v>
      </c>
      <c r="C96" s="52"/>
      <c r="D96" s="52"/>
      <c r="E96" s="52"/>
      <c r="F96" s="52"/>
      <c r="G96" s="52"/>
      <c r="H96" s="52"/>
      <c r="I96" s="207" t="n">
        <f aca="false">ROUND((((I41/30)*15)/12)*0.0078,2)</f>
        <v>0.85</v>
      </c>
    </row>
    <row r="97" customFormat="false" ht="15.75" hidden="false" customHeight="false" outlineLevel="0" collapsed="false">
      <c r="A97" s="97" t="s">
        <v>83</v>
      </c>
      <c r="B97" s="97"/>
      <c r="C97" s="97"/>
      <c r="D97" s="97"/>
      <c r="E97" s="97"/>
      <c r="F97" s="97"/>
      <c r="G97" s="97"/>
      <c r="H97" s="97"/>
      <c r="I97" s="223" t="n">
        <f aca="false">SUM(I92:I96)</f>
        <v>374.95</v>
      </c>
      <c r="K97" s="66"/>
    </row>
    <row r="98" customFormat="false" ht="18" hidden="false" customHeight="true" outlineLevel="0" collapsed="false">
      <c r="A98" s="17" t="s">
        <v>70</v>
      </c>
      <c r="B98" s="83" t="s">
        <v>107</v>
      </c>
      <c r="C98" s="83"/>
      <c r="D98" s="83"/>
      <c r="E98" s="83"/>
      <c r="F98" s="83"/>
      <c r="G98" s="83"/>
      <c r="H98" s="83"/>
      <c r="I98" s="224" t="n">
        <f aca="false">ROUND(I97*H67,2)</f>
        <v>132.36</v>
      </c>
      <c r="K98" s="66"/>
    </row>
    <row r="99" customFormat="false" ht="15.75" hidden="false" customHeight="false" outlineLevel="0" collapsed="false">
      <c r="A99" s="60" t="s">
        <v>76</v>
      </c>
      <c r="B99" s="60"/>
      <c r="C99" s="60"/>
      <c r="D99" s="60"/>
      <c r="E99" s="60"/>
      <c r="F99" s="60"/>
      <c r="G99" s="60"/>
      <c r="H99" s="60"/>
      <c r="I99" s="210" t="n">
        <f aca="false">SUM(I97+I98)</f>
        <v>507.31</v>
      </c>
      <c r="K99" s="66"/>
    </row>
    <row r="100" customFormat="false" ht="15.75" hidden="false" customHeight="false" outlineLevel="0" collapsed="false">
      <c r="A100" s="104" t="s">
        <v>108</v>
      </c>
      <c r="B100" s="104"/>
      <c r="C100" s="104"/>
      <c r="D100" s="104"/>
      <c r="E100" s="104"/>
      <c r="F100" s="104"/>
      <c r="G100" s="104"/>
      <c r="H100" s="104"/>
      <c r="I100" s="104"/>
    </row>
    <row r="101" customFormat="false" ht="15.75" hidden="false" customHeight="false" outlineLevel="0" collapsed="false">
      <c r="A101" s="62" t="n">
        <v>4</v>
      </c>
      <c r="B101" s="81" t="s">
        <v>109</v>
      </c>
      <c r="C101" s="81"/>
      <c r="D101" s="81"/>
      <c r="E101" s="81"/>
      <c r="F101" s="81"/>
      <c r="G101" s="81"/>
      <c r="H101" s="81"/>
      <c r="I101" s="204" t="s">
        <v>35</v>
      </c>
    </row>
    <row r="102" customFormat="false" ht="15.75" hidden="false" customHeight="false" outlineLevel="0" collapsed="false">
      <c r="A102" s="17" t="s">
        <v>61</v>
      </c>
      <c r="B102" s="83" t="s">
        <v>62</v>
      </c>
      <c r="C102" s="83"/>
      <c r="D102" s="83"/>
      <c r="E102" s="83"/>
      <c r="F102" s="83"/>
      <c r="G102" s="83"/>
      <c r="H102" s="83"/>
      <c r="I102" s="75" t="n">
        <f aca="false">I67</f>
        <v>921.46</v>
      </c>
    </row>
    <row r="103" customFormat="false" ht="15.75" hidden="false" customHeight="false" outlineLevel="0" collapsed="false">
      <c r="A103" s="17" t="s">
        <v>80</v>
      </c>
      <c r="B103" s="83" t="s">
        <v>110</v>
      </c>
      <c r="C103" s="83"/>
      <c r="D103" s="83"/>
      <c r="E103" s="83"/>
      <c r="F103" s="83"/>
      <c r="G103" s="83"/>
      <c r="H103" s="83"/>
      <c r="I103" s="75" t="n">
        <f aca="false">I75</f>
        <v>294.32</v>
      </c>
    </row>
    <row r="104" customFormat="false" ht="15.75" hidden="false" customHeight="false" outlineLevel="0" collapsed="false">
      <c r="A104" s="17" t="s">
        <v>86</v>
      </c>
      <c r="B104" s="83" t="s">
        <v>87</v>
      </c>
      <c r="C104" s="83"/>
      <c r="D104" s="83"/>
      <c r="E104" s="83"/>
      <c r="F104" s="83"/>
      <c r="G104" s="83"/>
      <c r="H104" s="83"/>
      <c r="I104" s="75" t="n">
        <f aca="false">I80</f>
        <v>2.61</v>
      </c>
    </row>
    <row r="105" customFormat="false" ht="15.75" hidden="false" customHeight="false" outlineLevel="0" collapsed="false">
      <c r="A105" s="17" t="s">
        <v>91</v>
      </c>
      <c r="B105" s="83" t="s">
        <v>111</v>
      </c>
      <c r="C105" s="83"/>
      <c r="D105" s="83"/>
      <c r="E105" s="83"/>
      <c r="F105" s="83"/>
      <c r="G105" s="83"/>
      <c r="H105" s="83"/>
      <c r="I105" s="75" t="n">
        <f aca="false">I89</f>
        <v>176.6</v>
      </c>
    </row>
    <row r="106" customFormat="false" ht="15.75" hidden="false" customHeight="false" outlineLevel="0" collapsed="false">
      <c r="A106" s="17" t="s">
        <v>100</v>
      </c>
      <c r="B106" s="83" t="s">
        <v>112</v>
      </c>
      <c r="C106" s="83"/>
      <c r="D106" s="83"/>
      <c r="E106" s="83"/>
      <c r="F106" s="83"/>
      <c r="G106" s="83"/>
      <c r="H106" s="83"/>
      <c r="I106" s="75" t="n">
        <f aca="false">I99</f>
        <v>507.31</v>
      </c>
    </row>
    <row r="107" customFormat="false" ht="15.75" hidden="false" customHeight="false" outlineLevel="0" collapsed="false">
      <c r="A107" s="60" t="s">
        <v>76</v>
      </c>
      <c r="B107" s="60"/>
      <c r="C107" s="60"/>
      <c r="D107" s="60"/>
      <c r="E107" s="60"/>
      <c r="F107" s="60"/>
      <c r="G107" s="60"/>
      <c r="H107" s="60"/>
      <c r="I107" s="210" t="n">
        <f aca="false">SUM(I102:I106)</f>
        <v>1902.3</v>
      </c>
      <c r="K107" s="106"/>
    </row>
    <row r="108" customFormat="false" ht="16.5" hidden="false" customHeight="true" outlineLevel="0" collapsed="false">
      <c r="A108" s="107" t="s">
        <v>113</v>
      </c>
      <c r="B108" s="107"/>
      <c r="C108" s="107"/>
      <c r="D108" s="107"/>
      <c r="E108" s="107"/>
      <c r="F108" s="107"/>
      <c r="G108" s="107"/>
      <c r="H108" s="107"/>
      <c r="I108" s="107"/>
    </row>
    <row r="109" customFormat="false" ht="18" hidden="false" customHeight="true" outlineLevel="0" collapsed="false">
      <c r="A109" s="62" t="n">
        <v>5</v>
      </c>
      <c r="B109" s="63" t="s">
        <v>114</v>
      </c>
      <c r="C109" s="63"/>
      <c r="D109" s="63"/>
      <c r="E109" s="63"/>
      <c r="F109" s="63"/>
      <c r="G109" s="63"/>
      <c r="H109" s="108" t="s">
        <v>63</v>
      </c>
      <c r="I109" s="204" t="s">
        <v>35</v>
      </c>
    </row>
    <row r="110" customFormat="false" ht="48" hidden="false" customHeight="true" outlineLevel="0" collapsed="false">
      <c r="A110" s="109" t="s">
        <v>115</v>
      </c>
      <c r="B110" s="109"/>
      <c r="C110" s="109"/>
      <c r="D110" s="109"/>
      <c r="E110" s="109"/>
      <c r="F110" s="109"/>
      <c r="G110" s="109"/>
      <c r="H110" s="110" t="n">
        <v>0</v>
      </c>
      <c r="I110" s="226" t="n">
        <f aca="false">(I41+I50+I55+I107)</f>
        <v>5368.474375</v>
      </c>
    </row>
    <row r="111" customFormat="false" ht="15.75" hidden="false" customHeight="false" outlineLevel="0" collapsed="false">
      <c r="A111" s="17" t="s">
        <v>8</v>
      </c>
      <c r="B111" s="83" t="s">
        <v>116</v>
      </c>
      <c r="C111" s="83"/>
      <c r="D111" s="83"/>
      <c r="E111" s="83"/>
      <c r="F111" s="83"/>
      <c r="G111" s="83"/>
      <c r="H111" s="112" t="n">
        <f aca="false">'Alegrete 1.1'!H110</f>
        <v>0.1207</v>
      </c>
      <c r="I111" s="207" t="n">
        <f aca="false">ROUND(I110*H111,2)</f>
        <v>647.97</v>
      </c>
      <c r="J111" s="113"/>
    </row>
    <row r="112" customFormat="false" ht="50.25" hidden="false" customHeight="true" outlineLevel="0" collapsed="false">
      <c r="A112" s="109" t="s">
        <v>117</v>
      </c>
      <c r="B112" s="109"/>
      <c r="C112" s="109"/>
      <c r="D112" s="109"/>
      <c r="E112" s="109"/>
      <c r="F112" s="109"/>
      <c r="G112" s="109"/>
      <c r="H112" s="114" t="n">
        <v>0</v>
      </c>
      <c r="I112" s="228" t="n">
        <f aca="false">I110+I111</f>
        <v>6016.444375</v>
      </c>
      <c r="J112" s="113"/>
    </row>
    <row r="113" customFormat="false" ht="15.75" hidden="false" customHeight="false" outlineLevel="0" collapsed="false">
      <c r="A113" s="17" t="s">
        <v>10</v>
      </c>
      <c r="B113" s="83" t="s">
        <v>118</v>
      </c>
      <c r="C113" s="83"/>
      <c r="D113" s="83"/>
      <c r="E113" s="83"/>
      <c r="F113" s="83"/>
      <c r="G113" s="83"/>
      <c r="H113" s="112" t="n">
        <f aca="false">'Alegrete 1.1'!H112</f>
        <v>0.0818</v>
      </c>
      <c r="I113" s="207" t="n">
        <f aca="false">ROUND(I112*H113,2)</f>
        <v>492.15</v>
      </c>
      <c r="J113" s="116"/>
    </row>
    <row r="114" customFormat="false" ht="50.25" hidden="false" customHeight="true" outlineLevel="0" collapsed="false">
      <c r="A114" s="109" t="s">
        <v>119</v>
      </c>
      <c r="B114" s="109"/>
      <c r="C114" s="109"/>
      <c r="D114" s="109"/>
      <c r="E114" s="109"/>
      <c r="F114" s="109"/>
      <c r="G114" s="109"/>
      <c r="H114" s="117" t="n">
        <v>0</v>
      </c>
      <c r="I114" s="231" t="n">
        <f aca="false">I112+I113</f>
        <v>6508.594375</v>
      </c>
      <c r="J114" s="116"/>
    </row>
    <row r="115" customFormat="false" ht="15.75" hidden="false" customHeight="false" outlineLevel="0" collapsed="false">
      <c r="A115" s="17" t="s">
        <v>12</v>
      </c>
      <c r="B115" s="83" t="s">
        <v>120</v>
      </c>
      <c r="C115" s="83"/>
      <c r="D115" s="83"/>
      <c r="E115" s="83"/>
      <c r="F115" s="83"/>
      <c r="G115" s="83"/>
      <c r="H115" s="119" t="s">
        <v>198</v>
      </c>
      <c r="I115" s="232" t="s">
        <v>198</v>
      </c>
      <c r="J115" s="116"/>
    </row>
    <row r="116" customFormat="false" ht="15.75" hidden="false" customHeight="false" outlineLevel="0" collapsed="false">
      <c r="A116" s="17"/>
      <c r="B116" s="83" t="s">
        <v>121</v>
      </c>
      <c r="C116" s="83"/>
      <c r="D116" s="83"/>
      <c r="E116" s="83"/>
      <c r="F116" s="83"/>
      <c r="G116" s="83"/>
      <c r="H116" s="119" t="s">
        <v>198</v>
      </c>
      <c r="I116" s="232" t="s">
        <v>198</v>
      </c>
    </row>
    <row r="117" customFormat="false" ht="33.75" hidden="false" customHeight="true" outlineLevel="0" collapsed="false">
      <c r="A117" s="17"/>
      <c r="B117" s="67" t="s">
        <v>199</v>
      </c>
      <c r="C117" s="67"/>
      <c r="D117" s="67"/>
      <c r="E117" s="67"/>
      <c r="F117" s="67"/>
      <c r="G117" s="67"/>
      <c r="H117" s="121" t="n">
        <v>0.03</v>
      </c>
      <c r="I117" s="207" t="n">
        <f aca="false">ROUND(($I$114/(1-H124))*H117,2)</f>
        <v>209.17</v>
      </c>
    </row>
    <row r="118" customFormat="false" ht="23.25" hidden="false" customHeight="true" outlineLevel="0" collapsed="false">
      <c r="A118" s="17"/>
      <c r="B118" s="67" t="s">
        <v>200</v>
      </c>
      <c r="C118" s="67"/>
      <c r="D118" s="67"/>
      <c r="E118" s="67"/>
      <c r="F118" s="67"/>
      <c r="G118" s="67"/>
      <c r="H118" s="121" t="n">
        <v>0.0065</v>
      </c>
      <c r="I118" s="207" t="n">
        <f aca="false">ROUND(($I$114/(1-H124))*H118,2)</f>
        <v>45.32</v>
      </c>
      <c r="K118" s="66"/>
    </row>
    <row r="119" customFormat="false" ht="30.75" hidden="false" customHeight="true" outlineLevel="0" collapsed="false">
      <c r="A119" s="17"/>
      <c r="B119" s="122" t="s">
        <v>124</v>
      </c>
      <c r="C119" s="122"/>
      <c r="D119" s="122"/>
      <c r="E119" s="122"/>
      <c r="F119" s="122"/>
      <c r="G119" s="122"/>
      <c r="H119" s="121" t="s">
        <v>198</v>
      </c>
      <c r="I119" s="232" t="s">
        <v>198</v>
      </c>
      <c r="K119" s="66"/>
    </row>
    <row r="120" customFormat="false" ht="17.25" hidden="false" customHeight="true" outlineLevel="0" collapsed="false">
      <c r="A120" s="17"/>
      <c r="B120" s="83" t="s">
        <v>125</v>
      </c>
      <c r="C120" s="83"/>
      <c r="D120" s="83"/>
      <c r="E120" s="83"/>
      <c r="F120" s="83"/>
      <c r="G120" s="83"/>
      <c r="H120" s="119" t="s">
        <v>198</v>
      </c>
      <c r="I120" s="232" t="s">
        <v>198</v>
      </c>
    </row>
    <row r="121" customFormat="false" ht="15.75" hidden="false" customHeight="false" outlineLevel="0" collapsed="false">
      <c r="A121" s="17"/>
      <c r="B121" s="83" t="s">
        <v>126</v>
      </c>
      <c r="C121" s="83"/>
      <c r="D121" s="83"/>
      <c r="E121" s="83"/>
      <c r="F121" s="83"/>
      <c r="G121" s="83"/>
      <c r="H121" s="119" t="s">
        <v>198</v>
      </c>
      <c r="I121" s="232" t="s">
        <v>198</v>
      </c>
      <c r="K121" s="66"/>
    </row>
    <row r="122" customFormat="false" ht="15.75" hidden="false" customHeight="false" outlineLevel="0" collapsed="false">
      <c r="A122" s="17"/>
      <c r="B122" s="52" t="s">
        <v>201</v>
      </c>
      <c r="C122" s="52"/>
      <c r="D122" s="52"/>
      <c r="E122" s="52"/>
      <c r="F122" s="52"/>
      <c r="G122" s="52"/>
      <c r="H122" s="124" t="n">
        <v>0.03</v>
      </c>
      <c r="I122" s="207" t="n">
        <f aca="false">ROUND(($I$114/(1-H124))*H122,2)</f>
        <v>209.17</v>
      </c>
    </row>
    <row r="123" customFormat="false" ht="15.75" hidden="false" customHeight="false" outlineLevel="0" collapsed="false">
      <c r="A123" s="125" t="s">
        <v>76</v>
      </c>
      <c r="B123" s="125"/>
      <c r="C123" s="125"/>
      <c r="D123" s="125"/>
      <c r="E123" s="125"/>
      <c r="F123" s="125"/>
      <c r="G123" s="125"/>
      <c r="H123" s="125"/>
      <c r="I123" s="234" t="n">
        <f aca="false">I111+I113+I117+I118+I122</f>
        <v>1603.78</v>
      </c>
    </row>
    <row r="124" customFormat="false" ht="15.75" hidden="false" customHeight="false" outlineLevel="0" collapsed="false">
      <c r="A124" s="127" t="s">
        <v>128</v>
      </c>
      <c r="B124" s="127"/>
      <c r="C124" s="127"/>
      <c r="D124" s="127"/>
      <c r="E124" s="127"/>
      <c r="F124" s="127"/>
      <c r="G124" s="127"/>
      <c r="H124" s="128" t="n">
        <f aca="false">SUM(H117:H122)</f>
        <v>0.0665</v>
      </c>
      <c r="I124" s="235" t="n">
        <f aca="false">SUM(I117+I118+I122)</f>
        <v>463.66</v>
      </c>
    </row>
    <row r="125" customFormat="false" ht="15.75" hidden="false" customHeight="false" outlineLevel="0" collapsed="false">
      <c r="A125" s="130" t="s">
        <v>129</v>
      </c>
      <c r="B125" s="130"/>
      <c r="C125" s="293" t="s">
        <v>130</v>
      </c>
      <c r="D125" s="293"/>
      <c r="E125" s="293"/>
      <c r="F125" s="293"/>
      <c r="G125" s="293"/>
      <c r="H125" s="293"/>
      <c r="I125" s="293"/>
    </row>
    <row r="126" customFormat="false" ht="15" hidden="false" customHeight="false" outlineLevel="0" collapsed="false">
      <c r="A126" s="130"/>
      <c r="B126" s="130"/>
      <c r="C126" s="294" t="s">
        <v>131</v>
      </c>
      <c r="D126" s="294"/>
      <c r="E126" s="294"/>
      <c r="F126" s="294"/>
      <c r="G126" s="294"/>
      <c r="H126" s="294"/>
      <c r="I126" s="294"/>
    </row>
    <row r="127" customFormat="false" ht="15.75" hidden="false" customHeight="false" outlineLevel="0" collapsed="false">
      <c r="A127" s="133" t="s">
        <v>132</v>
      </c>
      <c r="B127" s="133"/>
      <c r="C127" s="133"/>
      <c r="D127" s="133"/>
      <c r="E127" s="133"/>
      <c r="F127" s="133"/>
      <c r="G127" s="133"/>
      <c r="H127" s="133"/>
      <c r="I127" s="133"/>
    </row>
    <row r="128" customFormat="false" ht="15.75" hidden="false" customHeight="false" outlineLevel="0" collapsed="false">
      <c r="A128" s="94" t="s">
        <v>133</v>
      </c>
      <c r="B128" s="94"/>
      <c r="C128" s="94"/>
      <c r="D128" s="94"/>
      <c r="E128" s="94"/>
      <c r="F128" s="94"/>
      <c r="G128" s="94"/>
      <c r="H128" s="94"/>
      <c r="I128" s="94"/>
    </row>
    <row r="129" customFormat="false" ht="15.75" hidden="false" customHeight="false" outlineLevel="0" collapsed="false">
      <c r="A129" s="295"/>
      <c r="B129" s="295"/>
      <c r="C129" s="295"/>
      <c r="D129" s="295"/>
      <c r="E129" s="295"/>
      <c r="F129" s="295"/>
      <c r="G129" s="295"/>
      <c r="H129" s="295"/>
      <c r="I129" s="295"/>
    </row>
    <row r="130" customFormat="false" ht="15.75" hidden="false" customHeight="false" outlineLevel="0" collapsed="false">
      <c r="A130" s="33" t="s">
        <v>134</v>
      </c>
      <c r="B130" s="33"/>
      <c r="C130" s="33"/>
      <c r="D130" s="33"/>
      <c r="E130" s="33"/>
      <c r="F130" s="33"/>
      <c r="G130" s="33"/>
      <c r="H130" s="33"/>
      <c r="I130" s="33"/>
    </row>
    <row r="131" customFormat="false" ht="15.75" hidden="false" customHeight="false" outlineLevel="0" collapsed="false">
      <c r="A131" s="135" t="s">
        <v>135</v>
      </c>
      <c r="B131" s="135"/>
      <c r="C131" s="135"/>
      <c r="D131" s="135"/>
      <c r="E131" s="135"/>
      <c r="F131" s="135"/>
      <c r="G131" s="135"/>
      <c r="H131" s="135"/>
      <c r="I131" s="135"/>
    </row>
    <row r="132" customFormat="false" ht="15.75" hidden="false" customHeight="false" outlineLevel="0" collapsed="false">
      <c r="A132" s="136" t="s">
        <v>136</v>
      </c>
      <c r="B132" s="136"/>
      <c r="C132" s="136"/>
      <c r="D132" s="136"/>
      <c r="E132" s="136"/>
      <c r="F132" s="136"/>
      <c r="G132" s="136"/>
      <c r="H132" s="136"/>
      <c r="I132" s="313" t="s">
        <v>35</v>
      </c>
    </row>
    <row r="133" customFormat="false" ht="15.75" hidden="false" customHeight="false" outlineLevel="0" collapsed="false">
      <c r="A133" s="14" t="s">
        <v>8</v>
      </c>
      <c r="B133" s="15" t="s">
        <v>137</v>
      </c>
      <c r="C133" s="15"/>
      <c r="D133" s="15"/>
      <c r="E133" s="15"/>
      <c r="F133" s="15"/>
      <c r="G133" s="15"/>
      <c r="H133" s="15"/>
      <c r="I133" s="314" t="n">
        <f aca="false">I41</f>
        <v>2610.34</v>
      </c>
    </row>
    <row r="134" customFormat="false" ht="15.75" hidden="false" customHeight="false" outlineLevel="0" collapsed="false">
      <c r="A134" s="14" t="s">
        <v>10</v>
      </c>
      <c r="B134" s="15" t="s">
        <v>138</v>
      </c>
      <c r="C134" s="15"/>
      <c r="D134" s="15"/>
      <c r="E134" s="15"/>
      <c r="F134" s="15"/>
      <c r="G134" s="15"/>
      <c r="H134" s="15"/>
      <c r="I134" s="314" t="n">
        <f aca="false">I50</f>
        <v>649.32</v>
      </c>
    </row>
    <row r="135" customFormat="false" ht="15.75" hidden="false" customHeight="false" outlineLevel="0" collapsed="false">
      <c r="A135" s="14" t="s">
        <v>12</v>
      </c>
      <c r="B135" s="15" t="s">
        <v>139</v>
      </c>
      <c r="C135" s="15"/>
      <c r="D135" s="15"/>
      <c r="E135" s="15"/>
      <c r="F135" s="15"/>
      <c r="G135" s="15"/>
      <c r="H135" s="15"/>
      <c r="I135" s="315" t="n">
        <f aca="false">I55</f>
        <v>206.514375</v>
      </c>
    </row>
    <row r="136" customFormat="false" ht="15.75" hidden="false" customHeight="false" outlineLevel="0" collapsed="false">
      <c r="A136" s="14" t="s">
        <v>14</v>
      </c>
      <c r="B136" s="15" t="s">
        <v>109</v>
      </c>
      <c r="C136" s="15"/>
      <c r="D136" s="15"/>
      <c r="E136" s="15"/>
      <c r="F136" s="15"/>
      <c r="G136" s="15"/>
      <c r="H136" s="15"/>
      <c r="I136" s="314" t="n">
        <f aca="false">I107</f>
        <v>1902.3</v>
      </c>
    </row>
    <row r="137" customFormat="false" ht="15.75" hidden="false" customHeight="false" outlineLevel="0" collapsed="false">
      <c r="A137" s="140" t="s">
        <v>140</v>
      </c>
      <c r="B137" s="140"/>
      <c r="C137" s="140"/>
      <c r="D137" s="140"/>
      <c r="E137" s="140"/>
      <c r="F137" s="140"/>
      <c r="G137" s="140"/>
      <c r="H137" s="140"/>
      <c r="I137" s="316" t="n">
        <f aca="false">SUM(I133:I136)</f>
        <v>5368.474375</v>
      </c>
    </row>
    <row r="138" customFormat="false" ht="15.75" hidden="false" customHeight="false" outlineLevel="0" collapsed="false">
      <c r="A138" s="14" t="s">
        <v>40</v>
      </c>
      <c r="B138" s="15" t="s">
        <v>141</v>
      </c>
      <c r="C138" s="15"/>
      <c r="D138" s="15"/>
      <c r="E138" s="15"/>
      <c r="F138" s="15"/>
      <c r="G138" s="15"/>
      <c r="H138" s="15"/>
      <c r="I138" s="314" t="n">
        <f aca="false">I123</f>
        <v>1603.78</v>
      </c>
    </row>
    <row r="139" customFormat="false" ht="15.75" hidden="false" customHeight="false" outlineLevel="0" collapsed="false">
      <c r="A139" s="143" t="s">
        <v>142</v>
      </c>
      <c r="B139" s="143"/>
      <c r="C139" s="143"/>
      <c r="D139" s="143"/>
      <c r="E139" s="143"/>
      <c r="F139" s="143"/>
      <c r="G139" s="143"/>
      <c r="H139" s="143"/>
      <c r="I139" s="317" t="n">
        <f aca="false">SUM(I137+I138)</f>
        <v>6972.254375</v>
      </c>
    </row>
    <row r="140" customFormat="false" ht="15.75" hidden="false" customHeight="false" outlineLevel="0" collapsed="false">
      <c r="A140" s="301"/>
      <c r="B140" s="301"/>
      <c r="C140" s="301"/>
      <c r="D140" s="301"/>
      <c r="E140" s="301"/>
      <c r="F140" s="301"/>
      <c r="G140" s="301"/>
      <c r="H140" s="301"/>
      <c r="I140" s="301"/>
    </row>
    <row r="141" customFormat="false" ht="15.75" hidden="false" customHeight="false" outlineLevel="0" collapsed="false">
      <c r="A141" s="33" t="s">
        <v>143</v>
      </c>
      <c r="B141" s="33"/>
      <c r="C141" s="33"/>
      <c r="D141" s="33"/>
      <c r="E141" s="33"/>
      <c r="F141" s="33"/>
      <c r="G141" s="33"/>
      <c r="H141" s="33"/>
      <c r="I141" s="33"/>
    </row>
    <row r="142" customFormat="false" ht="15.75" hidden="false" customHeight="false" outlineLevel="0" collapsed="false">
      <c r="A142" s="146" t="s">
        <v>144</v>
      </c>
      <c r="B142" s="146"/>
      <c r="C142" s="146"/>
      <c r="D142" s="146"/>
      <c r="E142" s="146"/>
      <c r="F142" s="146"/>
      <c r="G142" s="146"/>
      <c r="H142" s="146"/>
      <c r="I142" s="146"/>
    </row>
    <row r="143" customFormat="false" ht="63" hidden="false" customHeight="true" outlineLevel="0" collapsed="false">
      <c r="A143" s="64" t="s">
        <v>145</v>
      </c>
      <c r="B143" s="64"/>
      <c r="C143" s="245" t="s">
        <v>146</v>
      </c>
      <c r="D143" s="245"/>
      <c r="E143" s="246" t="s">
        <v>147</v>
      </c>
      <c r="F143" s="245" t="s">
        <v>148</v>
      </c>
      <c r="G143" s="245"/>
      <c r="H143" s="245" t="s">
        <v>149</v>
      </c>
      <c r="I143" s="247" t="s">
        <v>150</v>
      </c>
    </row>
    <row r="144" customFormat="false" ht="33" hidden="false" customHeight="true" outlineLevel="0" collapsed="false">
      <c r="A144" s="248" t="s">
        <v>26</v>
      </c>
      <c r="B144" s="248"/>
      <c r="C144" s="249" t="n">
        <f aca="false">I139</f>
        <v>6972.254375</v>
      </c>
      <c r="D144" s="249"/>
      <c r="E144" s="250" t="s">
        <v>216</v>
      </c>
      <c r="F144" s="251" t="n">
        <f aca="false">C144</f>
        <v>6972.254375</v>
      </c>
      <c r="G144" s="251"/>
      <c r="H144" s="252" t="n">
        <v>1</v>
      </c>
      <c r="I144" s="253" t="n">
        <f aca="false">F144*H144</f>
        <v>6972.254375</v>
      </c>
    </row>
    <row r="145" customFormat="false" ht="15.75" hidden="false" customHeight="false" outlineLevel="0" collapsed="false">
      <c r="A145" s="301"/>
      <c r="B145" s="301"/>
      <c r="C145" s="301"/>
      <c r="D145" s="301"/>
      <c r="E145" s="301"/>
      <c r="F145" s="301"/>
      <c r="G145" s="301"/>
      <c r="H145" s="301"/>
      <c r="I145" s="301"/>
    </row>
    <row r="146" customFormat="false" ht="15.75" hidden="false" customHeight="false" outlineLevel="0" collapsed="false">
      <c r="A146" s="33" t="s">
        <v>151</v>
      </c>
      <c r="B146" s="33"/>
      <c r="C146" s="33"/>
      <c r="D146" s="33"/>
      <c r="E146" s="33"/>
      <c r="F146" s="33"/>
      <c r="G146" s="33"/>
      <c r="H146" s="33"/>
      <c r="I146" s="33"/>
    </row>
    <row r="147" customFormat="false" ht="15.75" hidden="false" customHeight="false" outlineLevel="0" collapsed="false">
      <c r="A147" s="146" t="s">
        <v>152</v>
      </c>
      <c r="B147" s="146"/>
      <c r="C147" s="146"/>
      <c r="D147" s="146"/>
      <c r="E147" s="146"/>
      <c r="F147" s="146"/>
      <c r="G147" s="146"/>
      <c r="H147" s="146"/>
      <c r="I147" s="146"/>
    </row>
    <row r="148" customFormat="false" ht="15.75" hidden="false" customHeight="false" outlineLevel="0" collapsed="false">
      <c r="A148" s="157" t="s">
        <v>153</v>
      </c>
      <c r="B148" s="157"/>
      <c r="C148" s="157"/>
      <c r="D148" s="157"/>
      <c r="E148" s="157"/>
      <c r="F148" s="157"/>
      <c r="G148" s="157"/>
      <c r="H148" s="157"/>
      <c r="I148" s="157"/>
    </row>
    <row r="149" customFormat="false" ht="15.75" hidden="false" customHeight="false" outlineLevel="0" collapsed="false">
      <c r="A149" s="158" t="s">
        <v>8</v>
      </c>
      <c r="B149" s="15" t="s">
        <v>154</v>
      </c>
      <c r="C149" s="15"/>
      <c r="D149" s="15"/>
      <c r="E149" s="15"/>
      <c r="F149" s="15"/>
      <c r="G149" s="15"/>
      <c r="H149" s="15"/>
      <c r="I149" s="318" t="n">
        <f aca="false">F144</f>
        <v>6972.254375</v>
      </c>
    </row>
    <row r="150" customFormat="false" ht="15.75" hidden="false" customHeight="false" outlineLevel="0" collapsed="false">
      <c r="A150" s="158" t="s">
        <v>10</v>
      </c>
      <c r="B150" s="15" t="s">
        <v>155</v>
      </c>
      <c r="C150" s="15"/>
      <c r="D150" s="15"/>
      <c r="E150" s="15"/>
      <c r="F150" s="15"/>
      <c r="G150" s="15"/>
      <c r="H150" s="15"/>
      <c r="I150" s="319" t="n">
        <f aca="false">I144</f>
        <v>6972.254375</v>
      </c>
    </row>
    <row r="151" customFormat="false" ht="16.5" hidden="false" customHeight="true" outlineLevel="0" collapsed="false">
      <c r="A151" s="161" t="s">
        <v>12</v>
      </c>
      <c r="B151" s="162" t="s">
        <v>156</v>
      </c>
      <c r="C151" s="162"/>
      <c r="D151" s="162"/>
      <c r="E151" s="162"/>
      <c r="F151" s="162"/>
      <c r="G151" s="162"/>
      <c r="H151" s="162"/>
      <c r="I151" s="320" t="n">
        <f aca="false">I150*12</f>
        <v>83667.0525</v>
      </c>
    </row>
  </sheetData>
  <mergeCells count="156">
    <mergeCell ref="A8:I8"/>
    <mergeCell ref="A9:I9"/>
    <mergeCell ref="A10:I10"/>
    <mergeCell ref="A11:I11"/>
    <mergeCell ref="A12:I12"/>
    <mergeCell ref="A13:I13"/>
    <mergeCell ref="A14:I14"/>
    <mergeCell ref="B15:H15"/>
    <mergeCell ref="B16:H16"/>
    <mergeCell ref="B17:H17"/>
    <mergeCell ref="B18:H18"/>
    <mergeCell ref="A19:I19"/>
    <mergeCell ref="A20:D20"/>
    <mergeCell ref="E20:F20"/>
    <mergeCell ref="G20:I20"/>
    <mergeCell ref="A21:D21"/>
    <mergeCell ref="E21:F22"/>
    <mergeCell ref="G21:I22"/>
    <mergeCell ref="A22:D22"/>
    <mergeCell ref="B23:I23"/>
    <mergeCell ref="A24:I24"/>
    <mergeCell ref="A25:I25"/>
    <mergeCell ref="A26:I26"/>
    <mergeCell ref="B27:H27"/>
    <mergeCell ref="B28:H28"/>
    <mergeCell ref="B29:H29"/>
    <mergeCell ref="B30:H30"/>
    <mergeCell ref="B31:H31"/>
    <mergeCell ref="B32:H32"/>
    <mergeCell ref="B33:H33"/>
    <mergeCell ref="A34:I34"/>
    <mergeCell ref="A35:I35"/>
    <mergeCell ref="B36:H36"/>
    <mergeCell ref="B37:H37"/>
    <mergeCell ref="B38:H38"/>
    <mergeCell ref="B39:H39"/>
    <mergeCell ref="B40:H40"/>
    <mergeCell ref="A41:H41"/>
    <mergeCell ref="A42:I42"/>
    <mergeCell ref="B43:H43"/>
    <mergeCell ref="A44:A46"/>
    <mergeCell ref="B44:H44"/>
    <mergeCell ref="B45:G45"/>
    <mergeCell ref="B46:G46"/>
    <mergeCell ref="A47:A48"/>
    <mergeCell ref="B47:H47"/>
    <mergeCell ref="B48:G48"/>
    <mergeCell ref="B49:H49"/>
    <mergeCell ref="A50:H50"/>
    <mergeCell ref="A51:I51"/>
    <mergeCell ref="A52:I52"/>
    <mergeCell ref="B53:H53"/>
    <mergeCell ref="B54:H54"/>
    <mergeCell ref="A55:H55"/>
    <mergeCell ref="A56:I56"/>
    <mergeCell ref="A57:I57"/>
    <mergeCell ref="B58:G58"/>
    <mergeCell ref="B59:G59"/>
    <mergeCell ref="B60:G60"/>
    <mergeCell ref="B61:G61"/>
    <mergeCell ref="B62:G62"/>
    <mergeCell ref="B63:G63"/>
    <mergeCell ref="B64:G64"/>
    <mergeCell ref="B65:E65"/>
    <mergeCell ref="B66:G66"/>
    <mergeCell ref="A67:G67"/>
    <mergeCell ref="A68:I68"/>
    <mergeCell ref="A69:I69"/>
    <mergeCell ref="A70:I70"/>
    <mergeCell ref="B71:H71"/>
    <mergeCell ref="B72:H72"/>
    <mergeCell ref="A73:H73"/>
    <mergeCell ref="B74:H74"/>
    <mergeCell ref="A75:H75"/>
    <mergeCell ref="A76:I76"/>
    <mergeCell ref="B77:H77"/>
    <mergeCell ref="B78:H78"/>
    <mergeCell ref="B79:H79"/>
    <mergeCell ref="A80:H80"/>
    <mergeCell ref="A81:I81"/>
    <mergeCell ref="B82:H82"/>
    <mergeCell ref="B83:H83"/>
    <mergeCell ref="B84:H84"/>
    <mergeCell ref="B85:H85"/>
    <mergeCell ref="B86:H86"/>
    <mergeCell ref="B87:H87"/>
    <mergeCell ref="B88:H88"/>
    <mergeCell ref="A89:H89"/>
    <mergeCell ref="A90:I90"/>
    <mergeCell ref="B91:H91"/>
    <mergeCell ref="B92:H92"/>
    <mergeCell ref="B93:H93"/>
    <mergeCell ref="B94:H94"/>
    <mergeCell ref="B95:H95"/>
    <mergeCell ref="B96:H96"/>
    <mergeCell ref="A97:H97"/>
    <mergeCell ref="B98:H98"/>
    <mergeCell ref="A99:H99"/>
    <mergeCell ref="A100:I100"/>
    <mergeCell ref="B101:H101"/>
    <mergeCell ref="B102:H102"/>
    <mergeCell ref="B103:H103"/>
    <mergeCell ref="B104:H104"/>
    <mergeCell ref="B105:H105"/>
    <mergeCell ref="B106:H106"/>
    <mergeCell ref="A107:H107"/>
    <mergeCell ref="A108:I108"/>
    <mergeCell ref="B109:G109"/>
    <mergeCell ref="A110:G110"/>
    <mergeCell ref="B111:G111"/>
    <mergeCell ref="A112:G112"/>
    <mergeCell ref="B113:G113"/>
    <mergeCell ref="A114:G114"/>
    <mergeCell ref="A115:A122"/>
    <mergeCell ref="B115:G115"/>
    <mergeCell ref="B116:G116"/>
    <mergeCell ref="B117:G117"/>
    <mergeCell ref="B118:G118"/>
    <mergeCell ref="B119:G119"/>
    <mergeCell ref="B120:G120"/>
    <mergeCell ref="B121:G121"/>
    <mergeCell ref="B122:G122"/>
    <mergeCell ref="A123:H123"/>
    <mergeCell ref="A124:G124"/>
    <mergeCell ref="A125:B126"/>
    <mergeCell ref="C125:I125"/>
    <mergeCell ref="C126:I126"/>
    <mergeCell ref="A127:I127"/>
    <mergeCell ref="A128:I128"/>
    <mergeCell ref="A129:I129"/>
    <mergeCell ref="A130:I130"/>
    <mergeCell ref="A131:I131"/>
    <mergeCell ref="A132:H132"/>
    <mergeCell ref="B133:H133"/>
    <mergeCell ref="B134:H134"/>
    <mergeCell ref="B135:H135"/>
    <mergeCell ref="B136:H136"/>
    <mergeCell ref="A137:H137"/>
    <mergeCell ref="B138:H138"/>
    <mergeCell ref="A139:H139"/>
    <mergeCell ref="A140:I140"/>
    <mergeCell ref="A141:I141"/>
    <mergeCell ref="A142:I142"/>
    <mergeCell ref="A143:B143"/>
    <mergeCell ref="C143:D143"/>
    <mergeCell ref="F143:G143"/>
    <mergeCell ref="A144:B144"/>
    <mergeCell ref="C144:D144"/>
    <mergeCell ref="F144:G144"/>
    <mergeCell ref="A145:I145"/>
    <mergeCell ref="A146:I146"/>
    <mergeCell ref="A147:I147"/>
    <mergeCell ref="A148:I148"/>
    <mergeCell ref="B149:H149"/>
    <mergeCell ref="B150:H150"/>
    <mergeCell ref="B151:H151"/>
  </mergeCells>
  <printOptions headings="false" gridLines="false" gridLinesSet="true" horizontalCentered="false" verticalCentered="false"/>
  <pageMargins left="0.698611111111111" right="0.698611111111111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5" man="true" max="16383" min="0"/>
    <brk id="107" man="true" max="16383" min="0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N153"/>
  <sheetViews>
    <sheetView showFormulas="false" showGridLines="true" showRowColHeaders="true" showZeros="true" rightToLeft="false" tabSelected="false" showOutlineSymbols="true" defaultGridColor="true" view="pageBreakPreview" topLeftCell="A28" colorId="64" zoomScale="76" zoomScaleNormal="110" zoomScalePageLayoutView="76" workbookViewId="0">
      <selection pane="topLeft" activeCell="L53" activeCellId="0" sqref="L53"/>
    </sheetView>
  </sheetViews>
  <sheetFormatPr defaultRowHeight="15" zeroHeight="false" outlineLevelRow="0" outlineLevelCol="0"/>
  <cols>
    <col collapsed="false" customWidth="true" hidden="false" outlineLevel="0" max="1" min="1" style="1" width="13.14"/>
    <col collapsed="false" customWidth="true" hidden="false" outlineLevel="0" max="2" min="2" style="1" width="11.71"/>
    <col collapsed="false" customWidth="true" hidden="false" outlineLevel="0" max="3" min="3" style="1" width="10"/>
    <col collapsed="false" customWidth="true" hidden="false" outlineLevel="0" max="4" min="4" style="1" width="14.86"/>
    <col collapsed="false" customWidth="true" hidden="false" outlineLevel="0" max="5" min="5" style="1" width="14.01"/>
    <col collapsed="false" customWidth="true" hidden="false" outlineLevel="0" max="6" min="6" style="1" width="16"/>
    <col collapsed="false" customWidth="true" hidden="false" outlineLevel="0" max="7" min="7" style="1" width="18.29"/>
    <col collapsed="false" customWidth="true" hidden="false" outlineLevel="0" max="8" min="8" style="1" width="18.71"/>
    <col collapsed="false" customWidth="true" hidden="false" outlineLevel="0" max="9" min="9" style="1" width="33.57"/>
    <col collapsed="false" customWidth="true" hidden="true" outlineLevel="0" max="11" min="10" style="1" width="9"/>
    <col collapsed="false" customWidth="true" hidden="false" outlineLevel="0" max="12" min="12" style="1" width="58.57"/>
    <col collapsed="false" customWidth="true" hidden="false" outlineLevel="0" max="1025" min="13" style="1" width="28.57"/>
  </cols>
  <sheetData>
    <row r="1" s="101" customFormat="true" ht="15.75" hidden="false" customHeight="false" outlineLevel="0" collapsed="false">
      <c r="A1" s="173" t="s">
        <v>178</v>
      </c>
      <c r="I1" s="261"/>
    </row>
    <row r="2" s="101" customFormat="true" ht="15.75" hidden="false" customHeight="false" outlineLevel="0" collapsed="false">
      <c r="A2" s="173" t="s">
        <v>179</v>
      </c>
      <c r="I2" s="261"/>
    </row>
    <row r="3" s="101" customFormat="true" ht="15.75" hidden="false" customHeight="false" outlineLevel="0" collapsed="false">
      <c r="A3" s="173" t="s">
        <v>180</v>
      </c>
      <c r="I3" s="261"/>
    </row>
    <row r="4" s="101" customFormat="true" ht="15.75" hidden="false" customHeight="false" outlineLevel="0" collapsed="false">
      <c r="A4" s="173" t="s">
        <v>181</v>
      </c>
      <c r="I4" s="261"/>
    </row>
    <row r="5" s="101" customFormat="true" ht="15.75" hidden="false" customHeight="false" outlineLevel="0" collapsed="false">
      <c r="A5" s="173" t="s">
        <v>182</v>
      </c>
      <c r="I5" s="261"/>
    </row>
    <row r="6" s="101" customFormat="true" ht="15.75" hidden="false" customHeight="false" outlineLevel="0" collapsed="false">
      <c r="A6" s="173" t="s">
        <v>183</v>
      </c>
      <c r="I6" s="261"/>
    </row>
    <row r="7" customFormat="false" ht="15.75" hidden="false" customHeight="false" outlineLevel="0" collapsed="false">
      <c r="A7" s="174" t="s">
        <v>184</v>
      </c>
      <c r="I7" s="262"/>
    </row>
    <row r="8" customFormat="false" ht="15.75" hidden="false" customHeight="false" outlineLevel="0" collapsed="false">
      <c r="A8" s="321" t="s">
        <v>1</v>
      </c>
      <c r="B8" s="321"/>
      <c r="C8" s="321"/>
      <c r="D8" s="321"/>
      <c r="E8" s="321"/>
      <c r="F8" s="321"/>
      <c r="G8" s="321"/>
      <c r="H8" s="321"/>
      <c r="I8" s="321"/>
    </row>
    <row r="9" customFormat="false" ht="15.75" hidden="false" customHeight="false" outlineLevel="0" collapsed="false">
      <c r="A9" s="4" t="s">
        <v>2</v>
      </c>
      <c r="B9" s="4"/>
      <c r="C9" s="4"/>
      <c r="D9" s="4"/>
      <c r="E9" s="4"/>
      <c r="F9" s="4"/>
      <c r="G9" s="4"/>
      <c r="H9" s="4"/>
      <c r="I9" s="4"/>
    </row>
    <row r="10" customFormat="false" ht="15.75" hidden="false" customHeight="false" outlineLevel="0" collapsed="false">
      <c r="A10" s="5" t="s">
        <v>3</v>
      </c>
      <c r="B10" s="5"/>
      <c r="C10" s="5"/>
      <c r="D10" s="5"/>
      <c r="E10" s="5"/>
      <c r="F10" s="5"/>
      <c r="G10" s="5"/>
      <c r="H10" s="5"/>
      <c r="I10" s="5"/>
    </row>
    <row r="11" customFormat="false" ht="15.75" hidden="false" customHeight="false" outlineLevel="0" collapsed="false">
      <c r="A11" s="6" t="s">
        <v>4</v>
      </c>
      <c r="B11" s="6"/>
      <c r="C11" s="6"/>
      <c r="D11" s="6"/>
      <c r="E11" s="6"/>
      <c r="F11" s="6"/>
      <c r="G11" s="6"/>
      <c r="H11" s="6"/>
      <c r="I11" s="6"/>
    </row>
    <row r="12" customFormat="false" ht="15.75" hidden="false" customHeight="false" outlineLevel="0" collapsed="false">
      <c r="A12" s="7" t="s">
        <v>5</v>
      </c>
      <c r="B12" s="7"/>
      <c r="C12" s="7"/>
      <c r="D12" s="7"/>
      <c r="E12" s="7"/>
      <c r="F12" s="7"/>
      <c r="G12" s="7"/>
      <c r="H12" s="7"/>
      <c r="I12" s="7"/>
    </row>
    <row r="13" customFormat="false" ht="15.75" hidden="false" customHeight="false" outlineLevel="0" collapsed="false">
      <c r="A13" s="8" t="s">
        <v>6</v>
      </c>
      <c r="B13" s="8"/>
      <c r="C13" s="8"/>
      <c r="D13" s="8"/>
      <c r="E13" s="8"/>
      <c r="F13" s="8"/>
      <c r="G13" s="8"/>
      <c r="H13" s="8"/>
      <c r="I13" s="8"/>
    </row>
    <row r="14" customFormat="false" ht="15.75" hidden="false" customHeight="false" outlineLevel="0" collapsed="false">
      <c r="A14" s="179" t="s">
        <v>7</v>
      </c>
      <c r="B14" s="179"/>
      <c r="C14" s="179"/>
      <c r="D14" s="179"/>
      <c r="E14" s="179"/>
      <c r="F14" s="179"/>
      <c r="G14" s="179"/>
      <c r="H14" s="179"/>
      <c r="I14" s="179"/>
    </row>
    <row r="15" customFormat="false" ht="15.75" hidden="false" customHeight="false" outlineLevel="0" collapsed="false">
      <c r="A15" s="10" t="s">
        <v>8</v>
      </c>
      <c r="B15" s="11" t="s">
        <v>9</v>
      </c>
      <c r="C15" s="11"/>
      <c r="D15" s="11"/>
      <c r="E15" s="11"/>
      <c r="F15" s="11"/>
      <c r="G15" s="11"/>
      <c r="H15" s="11"/>
      <c r="I15" s="264"/>
      <c r="L15" s="13"/>
    </row>
    <row r="16" customFormat="false" ht="15.75" hidden="false" customHeight="false" outlineLevel="0" collapsed="false">
      <c r="A16" s="14" t="s">
        <v>10</v>
      </c>
      <c r="B16" s="15" t="s">
        <v>11</v>
      </c>
      <c r="C16" s="15"/>
      <c r="D16" s="15"/>
      <c r="E16" s="15"/>
      <c r="F16" s="15"/>
      <c r="G16" s="15"/>
      <c r="H16" s="15"/>
      <c r="I16" s="265" t="s">
        <v>185</v>
      </c>
      <c r="L16" s="13"/>
    </row>
    <row r="17" customFormat="false" ht="47.25" hidden="false" customHeight="true" outlineLevel="0" collapsed="false">
      <c r="A17" s="17" t="s">
        <v>12</v>
      </c>
      <c r="B17" s="18" t="s">
        <v>13</v>
      </c>
      <c r="C17" s="18"/>
      <c r="D17" s="18"/>
      <c r="E17" s="18"/>
      <c r="F17" s="18"/>
      <c r="G17" s="18"/>
      <c r="H17" s="18"/>
      <c r="I17" s="266" t="s">
        <v>186</v>
      </c>
      <c r="L17" s="13"/>
    </row>
    <row r="18" customFormat="false" ht="15.75" hidden="false" customHeight="false" outlineLevel="0" collapsed="false">
      <c r="A18" s="20" t="s">
        <v>14</v>
      </c>
      <c r="B18" s="21" t="s">
        <v>15</v>
      </c>
      <c r="C18" s="21"/>
      <c r="D18" s="21"/>
      <c r="E18" s="21"/>
      <c r="F18" s="21"/>
      <c r="G18" s="21"/>
      <c r="H18" s="21"/>
      <c r="I18" s="267" t="n">
        <v>12</v>
      </c>
    </row>
    <row r="19" customFormat="false" ht="15.75" hidden="false" customHeight="false" outlineLevel="0" collapsed="false">
      <c r="A19" s="179" t="s">
        <v>16</v>
      </c>
      <c r="B19" s="179"/>
      <c r="C19" s="179"/>
      <c r="D19" s="179"/>
      <c r="E19" s="179"/>
      <c r="F19" s="179"/>
      <c r="G19" s="179"/>
      <c r="H19" s="179"/>
      <c r="I19" s="179"/>
    </row>
    <row r="20" customFormat="false" ht="15.75" hidden="false" customHeight="false" outlineLevel="0" collapsed="false">
      <c r="A20" s="23" t="s">
        <v>17</v>
      </c>
      <c r="B20" s="23"/>
      <c r="C20" s="23"/>
      <c r="D20" s="23"/>
      <c r="E20" s="24" t="s">
        <v>18</v>
      </c>
      <c r="F20" s="24"/>
      <c r="G20" s="25" t="s">
        <v>19</v>
      </c>
      <c r="H20" s="25"/>
      <c r="I20" s="25"/>
    </row>
    <row r="21" customFormat="false" ht="15.75" hidden="false" customHeight="true" outlineLevel="0" collapsed="false">
      <c r="A21" s="26" t="s">
        <v>20</v>
      </c>
      <c r="B21" s="26"/>
      <c r="C21" s="26"/>
      <c r="D21" s="26"/>
      <c r="E21" s="27" t="s">
        <v>21</v>
      </c>
      <c r="F21" s="27"/>
      <c r="G21" s="28" t="n">
        <v>1</v>
      </c>
      <c r="H21" s="28"/>
      <c r="I21" s="28"/>
    </row>
    <row r="22" customFormat="false" ht="30.75" hidden="false" customHeight="true" outlineLevel="0" collapsed="false">
      <c r="A22" s="268" t="s">
        <v>217</v>
      </c>
      <c r="B22" s="268"/>
      <c r="C22" s="268"/>
      <c r="D22" s="268"/>
      <c r="E22" s="27"/>
      <c r="F22" s="27"/>
      <c r="G22" s="28"/>
      <c r="H22" s="28"/>
      <c r="I22" s="28"/>
      <c r="L22" s="30"/>
    </row>
    <row r="23" customFormat="false" ht="15.75" hidden="false" customHeight="false" outlineLevel="0" collapsed="false">
      <c r="A23" s="31"/>
      <c r="B23" s="269"/>
      <c r="C23" s="269"/>
      <c r="D23" s="269"/>
      <c r="E23" s="269"/>
      <c r="F23" s="269"/>
      <c r="G23" s="269"/>
      <c r="H23" s="269"/>
      <c r="I23" s="269"/>
    </row>
    <row r="24" customFormat="false" ht="15.75" hidden="false" customHeight="false" outlineLevel="0" collapsed="false">
      <c r="A24" s="33" t="s">
        <v>22</v>
      </c>
      <c r="B24" s="33"/>
      <c r="C24" s="33"/>
      <c r="D24" s="33"/>
      <c r="E24" s="33"/>
      <c r="F24" s="33"/>
      <c r="G24" s="33"/>
      <c r="H24" s="33"/>
      <c r="I24" s="33"/>
    </row>
    <row r="25" customFormat="false" ht="15.75" hidden="false" customHeight="false" outlineLevel="0" collapsed="false">
      <c r="A25" s="34" t="s">
        <v>23</v>
      </c>
      <c r="B25" s="34"/>
      <c r="C25" s="34"/>
      <c r="D25" s="34"/>
      <c r="E25" s="34"/>
      <c r="F25" s="34"/>
      <c r="G25" s="34"/>
      <c r="H25" s="34"/>
      <c r="I25" s="34"/>
    </row>
    <row r="26" customFormat="false" ht="15.75" hidden="false" customHeight="false" outlineLevel="0" collapsed="false">
      <c r="A26" s="35" t="s">
        <v>24</v>
      </c>
      <c r="B26" s="35"/>
      <c r="C26" s="35"/>
      <c r="D26" s="35"/>
      <c r="E26" s="35"/>
      <c r="F26" s="35"/>
      <c r="G26" s="35"/>
      <c r="H26" s="35"/>
      <c r="I26" s="35"/>
    </row>
    <row r="27" customFormat="false" ht="15.75" hidden="false" customHeight="true" outlineLevel="0" collapsed="false">
      <c r="A27" s="14" t="n">
        <v>1</v>
      </c>
      <c r="B27" s="36" t="s">
        <v>25</v>
      </c>
      <c r="C27" s="36"/>
      <c r="D27" s="36"/>
      <c r="E27" s="36"/>
      <c r="F27" s="36"/>
      <c r="G27" s="36"/>
      <c r="H27" s="36"/>
      <c r="I27" s="266" t="s">
        <v>26</v>
      </c>
    </row>
    <row r="28" customFormat="false" ht="15.75" hidden="false" customHeight="true" outlineLevel="0" collapsed="false">
      <c r="A28" s="14" t="n">
        <v>2</v>
      </c>
      <c r="B28" s="38" t="s">
        <v>27</v>
      </c>
      <c r="C28" s="38"/>
      <c r="D28" s="38"/>
      <c r="E28" s="38"/>
      <c r="F28" s="38"/>
      <c r="G28" s="38"/>
      <c r="H28" s="38"/>
      <c r="I28" s="265" t="n">
        <f aca="false">Dados!B2</f>
        <v>1305.17</v>
      </c>
    </row>
    <row r="29" customFormat="false" ht="15.75" hidden="false" customHeight="true" outlineLevel="0" collapsed="false">
      <c r="A29" s="14" t="n">
        <v>3</v>
      </c>
      <c r="B29" s="38" t="s">
        <v>28</v>
      </c>
      <c r="C29" s="38"/>
      <c r="D29" s="38"/>
      <c r="E29" s="38"/>
      <c r="F29" s="38"/>
      <c r="G29" s="38"/>
      <c r="H29" s="38"/>
      <c r="I29" s="265" t="s">
        <v>188</v>
      </c>
    </row>
    <row r="30" customFormat="false" ht="15.75" hidden="false" customHeight="true" outlineLevel="0" collapsed="false">
      <c r="A30" s="40" t="n">
        <v>4</v>
      </c>
      <c r="B30" s="41" t="s">
        <v>29</v>
      </c>
      <c r="C30" s="41"/>
      <c r="D30" s="41"/>
      <c r="E30" s="41"/>
      <c r="F30" s="41"/>
      <c r="G30" s="41"/>
      <c r="H30" s="41"/>
      <c r="I30" s="270" t="n">
        <v>42005</v>
      </c>
    </row>
    <row r="31" customFormat="false" ht="15.75" hidden="false" customHeight="true" outlineLevel="0" collapsed="false">
      <c r="A31" s="40" t="n">
        <v>5</v>
      </c>
      <c r="B31" s="38" t="s">
        <v>30</v>
      </c>
      <c r="C31" s="38"/>
      <c r="D31" s="38"/>
      <c r="E31" s="38"/>
      <c r="F31" s="38"/>
      <c r="G31" s="38"/>
      <c r="H31" s="38"/>
      <c r="I31" s="270" t="n">
        <f aca="false">I28/220</f>
        <v>5.93259090909091</v>
      </c>
    </row>
    <row r="32" customFormat="false" ht="15.75" hidden="false" customHeight="true" outlineLevel="0" collapsed="false">
      <c r="A32" s="40" t="n">
        <v>6</v>
      </c>
      <c r="B32" s="38" t="s">
        <v>31</v>
      </c>
      <c r="C32" s="38"/>
      <c r="D32" s="38"/>
      <c r="E32" s="38"/>
      <c r="F32" s="38"/>
      <c r="G32" s="38"/>
      <c r="H32" s="38"/>
      <c r="I32" s="270" t="n">
        <f aca="false">I31*1.5</f>
        <v>8.89888636363636</v>
      </c>
    </row>
    <row r="33" customFormat="false" ht="16.5" hidden="false" customHeight="true" outlineLevel="0" collapsed="false">
      <c r="A33" s="20" t="n">
        <v>7</v>
      </c>
      <c r="B33" s="44" t="s">
        <v>32</v>
      </c>
      <c r="C33" s="44"/>
      <c r="D33" s="44"/>
      <c r="E33" s="44"/>
      <c r="F33" s="44"/>
      <c r="G33" s="44"/>
      <c r="H33" s="44"/>
      <c r="I33" s="267" t="n">
        <f aca="false">I31*0.2</f>
        <v>1.18651818181818</v>
      </c>
    </row>
    <row r="34" customFormat="false" ht="15.75" hidden="false" customHeight="false" outlineLevel="0" collapsed="false">
      <c r="A34" s="271"/>
      <c r="B34" s="271"/>
      <c r="C34" s="271"/>
      <c r="D34" s="271"/>
      <c r="E34" s="271"/>
      <c r="F34" s="271"/>
      <c r="G34" s="271"/>
      <c r="H34" s="271"/>
      <c r="I34" s="271"/>
    </row>
    <row r="35" customFormat="false" ht="15.75" hidden="false" customHeight="false" outlineLevel="0" collapsed="false">
      <c r="A35" s="47" t="s">
        <v>33</v>
      </c>
      <c r="B35" s="47"/>
      <c r="C35" s="47"/>
      <c r="D35" s="47"/>
      <c r="E35" s="47"/>
      <c r="F35" s="47"/>
      <c r="G35" s="47"/>
      <c r="H35" s="47"/>
      <c r="I35" s="47"/>
    </row>
    <row r="36" customFormat="false" ht="15.75" hidden="false" customHeight="false" outlineLevel="0" collapsed="false">
      <c r="A36" s="48" t="n">
        <v>1</v>
      </c>
      <c r="B36" s="49" t="s">
        <v>34</v>
      </c>
      <c r="C36" s="49"/>
      <c r="D36" s="49"/>
      <c r="E36" s="49"/>
      <c r="F36" s="49"/>
      <c r="G36" s="49"/>
      <c r="H36" s="49"/>
      <c r="I36" s="272" t="s">
        <v>35</v>
      </c>
      <c r="L36" s="51"/>
    </row>
    <row r="37" customFormat="false" ht="15.75" hidden="false" customHeight="false" outlineLevel="0" collapsed="false">
      <c r="A37" s="17" t="s">
        <v>8</v>
      </c>
      <c r="B37" s="52" t="s">
        <v>36</v>
      </c>
      <c r="C37" s="52"/>
      <c r="D37" s="52"/>
      <c r="E37" s="52"/>
      <c r="F37" s="52"/>
      <c r="G37" s="52"/>
      <c r="H37" s="52"/>
      <c r="I37" s="273" t="n">
        <f aca="false">ROUND(I28*2,2)</f>
        <v>2610.34</v>
      </c>
      <c r="L37" s="51"/>
    </row>
    <row r="38" customFormat="false" ht="32.25" hidden="false" customHeight="true" outlineLevel="0" collapsed="false">
      <c r="A38" s="17" t="s">
        <v>10</v>
      </c>
      <c r="B38" s="54" t="s">
        <v>218</v>
      </c>
      <c r="C38" s="54"/>
      <c r="D38" s="54"/>
      <c r="E38" s="54"/>
      <c r="F38" s="54"/>
      <c r="G38" s="54"/>
      <c r="H38" s="54"/>
      <c r="I38" s="273" t="n">
        <f aca="false">ROUND((I32*21*2)+(I32*2*5*(15/60)),2)</f>
        <v>396</v>
      </c>
      <c r="L38" s="55"/>
    </row>
    <row r="39" customFormat="false" ht="29.25" hidden="false" customHeight="true" outlineLevel="0" collapsed="false">
      <c r="A39" s="17" t="s">
        <v>12</v>
      </c>
      <c r="B39" s="54" t="s">
        <v>219</v>
      </c>
      <c r="C39" s="54"/>
      <c r="D39" s="54"/>
      <c r="E39" s="54"/>
      <c r="F39" s="54"/>
      <c r="G39" s="54"/>
      <c r="H39" s="54"/>
      <c r="I39" s="273" t="n">
        <f aca="false">ROUND(I33*1*(60/52.5)*21,2)</f>
        <v>28.48</v>
      </c>
      <c r="L39" s="55"/>
    </row>
    <row r="40" customFormat="false" ht="30.75" hidden="false" customHeight="true" outlineLevel="0" collapsed="false">
      <c r="A40" s="17" t="s">
        <v>14</v>
      </c>
      <c r="B40" s="54" t="s">
        <v>220</v>
      </c>
      <c r="C40" s="54"/>
      <c r="D40" s="54"/>
      <c r="E40" s="54"/>
      <c r="F40" s="54"/>
      <c r="G40" s="54"/>
      <c r="H40" s="54"/>
      <c r="I40" s="273" t="n">
        <f aca="false">ROUND(I32*21*(60/52.5-1),2)</f>
        <v>26.7</v>
      </c>
      <c r="L40" s="55"/>
    </row>
    <row r="41" customFormat="false" ht="15.75" hidden="false" customHeight="false" outlineLevel="0" collapsed="false">
      <c r="A41" s="17" t="s">
        <v>40</v>
      </c>
      <c r="B41" s="74" t="s">
        <v>221</v>
      </c>
      <c r="C41" s="74"/>
      <c r="D41" s="74"/>
      <c r="E41" s="74"/>
      <c r="F41" s="74"/>
      <c r="G41" s="74"/>
      <c r="H41" s="74"/>
      <c r="I41" s="273" t="n">
        <f aca="false">ROUND((I32*2*10),2)</f>
        <v>177.98</v>
      </c>
      <c r="L41" s="57"/>
    </row>
    <row r="42" customFormat="false" ht="20.25" hidden="false" customHeight="true" outlineLevel="0" collapsed="false">
      <c r="A42" s="274" t="s">
        <v>40</v>
      </c>
      <c r="B42" s="58" t="s">
        <v>43</v>
      </c>
      <c r="C42" s="58"/>
      <c r="D42" s="58"/>
      <c r="E42" s="58"/>
      <c r="F42" s="58"/>
      <c r="G42" s="58"/>
      <c r="H42" s="58"/>
      <c r="I42" s="273" t="n">
        <f aca="false">SUM(I38:I41)*0.2</f>
        <v>125.832</v>
      </c>
      <c r="K42" s="59"/>
    </row>
    <row r="43" customFormat="false" ht="15.75" hidden="false" customHeight="false" outlineLevel="0" collapsed="false">
      <c r="A43" s="60" t="s">
        <v>44</v>
      </c>
      <c r="B43" s="60"/>
      <c r="C43" s="60"/>
      <c r="D43" s="60"/>
      <c r="E43" s="60"/>
      <c r="F43" s="60"/>
      <c r="G43" s="60"/>
      <c r="H43" s="60"/>
      <c r="I43" s="275" t="n">
        <f aca="false">SUM(I37:I42)</f>
        <v>3365.332</v>
      </c>
    </row>
    <row r="44" customFormat="false" ht="15.75" hidden="false" customHeight="false" outlineLevel="0" collapsed="false">
      <c r="A44" s="47" t="s">
        <v>45</v>
      </c>
      <c r="B44" s="47"/>
      <c r="C44" s="47"/>
      <c r="D44" s="47"/>
      <c r="E44" s="47"/>
      <c r="F44" s="47"/>
      <c r="G44" s="47"/>
      <c r="H44" s="47"/>
      <c r="I44" s="47"/>
    </row>
    <row r="45" customFormat="false" ht="15.75" hidden="false" customHeight="false" outlineLevel="0" collapsed="false">
      <c r="A45" s="62" t="n">
        <v>2</v>
      </c>
      <c r="B45" s="63" t="s">
        <v>46</v>
      </c>
      <c r="C45" s="63"/>
      <c r="D45" s="63"/>
      <c r="E45" s="63"/>
      <c r="F45" s="63"/>
      <c r="G45" s="63"/>
      <c r="H45" s="63"/>
      <c r="I45" s="272" t="s">
        <v>35</v>
      </c>
    </row>
    <row r="46" customFormat="false" ht="15.75" hidden="false" customHeight="true" outlineLevel="0" collapsed="false">
      <c r="A46" s="64" t="s">
        <v>8</v>
      </c>
      <c r="B46" s="54" t="s">
        <v>206</v>
      </c>
      <c r="C46" s="54"/>
      <c r="D46" s="54"/>
      <c r="E46" s="54"/>
      <c r="F46" s="54"/>
      <c r="G46" s="54"/>
      <c r="H46" s="54"/>
      <c r="I46" s="279" t="n">
        <f aca="false">ROUND((2*H48*H47*26)-(0.06*I37),2)</f>
        <v>155.38</v>
      </c>
      <c r="L46" s="66"/>
    </row>
    <row r="47" customFormat="false" ht="30.75" hidden="false" customHeight="true" outlineLevel="0" collapsed="false">
      <c r="A47" s="64"/>
      <c r="B47" s="277" t="s">
        <v>192</v>
      </c>
      <c r="C47" s="277"/>
      <c r="D47" s="277"/>
      <c r="E47" s="277"/>
      <c r="F47" s="277"/>
      <c r="G47" s="277"/>
      <c r="H47" s="278" t="n">
        <f aca="false">Dados!B9</f>
        <v>3</v>
      </c>
      <c r="I47" s="279"/>
    </row>
    <row r="48" customFormat="false" ht="15.75" hidden="false" customHeight="false" outlineLevel="0" collapsed="false">
      <c r="A48" s="64"/>
      <c r="B48" s="69" t="s">
        <v>49</v>
      </c>
      <c r="C48" s="69"/>
      <c r="D48" s="69"/>
      <c r="E48" s="69"/>
      <c r="F48" s="69"/>
      <c r="G48" s="69"/>
      <c r="H48" s="70" t="n">
        <v>2</v>
      </c>
      <c r="I48" s="279"/>
    </row>
    <row r="49" customFormat="false" ht="15.75" hidden="false" customHeight="true" outlineLevel="0" collapsed="false">
      <c r="A49" s="64" t="s">
        <v>10</v>
      </c>
      <c r="B49" s="54" t="s">
        <v>222</v>
      </c>
      <c r="C49" s="54"/>
      <c r="D49" s="54"/>
      <c r="E49" s="54"/>
      <c r="F49" s="54"/>
      <c r="G49" s="54"/>
      <c r="H49" s="54"/>
      <c r="I49" s="279" t="n">
        <f aca="false">ROUND(((2*21*H50)+(2*5*Dados!B4))*(1-0.18),2)</f>
        <v>644.73</v>
      </c>
    </row>
    <row r="50" customFormat="false" ht="15.75" hidden="false" customHeight="false" outlineLevel="0" collapsed="false">
      <c r="A50" s="64"/>
      <c r="B50" s="69" t="s">
        <v>51</v>
      </c>
      <c r="C50" s="69"/>
      <c r="D50" s="69"/>
      <c r="E50" s="69"/>
      <c r="F50" s="69"/>
      <c r="G50" s="69"/>
      <c r="H50" s="280" t="n">
        <f aca="false">Dados!B3</f>
        <v>16.73</v>
      </c>
      <c r="I50" s="281"/>
    </row>
    <row r="51" customFormat="false" ht="26.25" hidden="false" customHeight="true" outlineLevel="0" collapsed="false">
      <c r="A51" s="17" t="s">
        <v>12</v>
      </c>
      <c r="B51" s="58" t="s">
        <v>194</v>
      </c>
      <c r="C51" s="58"/>
      <c r="D51" s="58"/>
      <c r="E51" s="58"/>
      <c r="F51" s="58"/>
      <c r="G51" s="58"/>
      <c r="H51" s="58"/>
      <c r="I51" s="279" t="n">
        <f aca="false">ROUND(Dados!B5*2,2)</f>
        <v>30.04</v>
      </c>
    </row>
    <row r="52" customFormat="false" ht="15.75" hidden="false" customHeight="false" outlineLevel="0" collapsed="false">
      <c r="A52" s="60" t="s">
        <v>53</v>
      </c>
      <c r="B52" s="60"/>
      <c r="C52" s="60"/>
      <c r="D52" s="60"/>
      <c r="E52" s="60"/>
      <c r="F52" s="60"/>
      <c r="G52" s="60"/>
      <c r="H52" s="60"/>
      <c r="I52" s="275" t="n">
        <f aca="false">SUM(I46:I51)</f>
        <v>830.15</v>
      </c>
    </row>
    <row r="53" customFormat="false" ht="15.75" hidden="false" customHeight="false" outlineLevel="0" collapsed="false">
      <c r="A53" s="73" t="s">
        <v>54</v>
      </c>
      <c r="B53" s="73"/>
      <c r="C53" s="73"/>
      <c r="D53" s="73"/>
      <c r="E53" s="73"/>
      <c r="F53" s="73"/>
      <c r="G53" s="73"/>
      <c r="H53" s="73"/>
      <c r="I53" s="73"/>
    </row>
    <row r="54" customFormat="false" ht="15.75" hidden="false" customHeight="false" outlineLevel="0" collapsed="false">
      <c r="A54" s="47" t="s">
        <v>55</v>
      </c>
      <c r="B54" s="47"/>
      <c r="C54" s="47"/>
      <c r="D54" s="47"/>
      <c r="E54" s="47"/>
      <c r="F54" s="47"/>
      <c r="G54" s="47"/>
      <c r="H54" s="47"/>
      <c r="I54" s="47"/>
    </row>
    <row r="55" customFormat="false" ht="15.75" hidden="false" customHeight="false" outlineLevel="0" collapsed="false">
      <c r="A55" s="62" t="n">
        <v>3</v>
      </c>
      <c r="B55" s="63" t="s">
        <v>56</v>
      </c>
      <c r="C55" s="63"/>
      <c r="D55" s="63"/>
      <c r="E55" s="63"/>
      <c r="F55" s="63"/>
      <c r="G55" s="63"/>
      <c r="H55" s="63"/>
      <c r="I55" s="272" t="s">
        <v>35</v>
      </c>
    </row>
    <row r="56" customFormat="false" ht="15.75" hidden="false" customHeight="false" outlineLevel="0" collapsed="false">
      <c r="A56" s="64" t="s">
        <v>8</v>
      </c>
      <c r="B56" s="74" t="s">
        <v>208</v>
      </c>
      <c r="C56" s="74"/>
      <c r="D56" s="74"/>
      <c r="E56" s="74"/>
      <c r="F56" s="74"/>
      <c r="G56" s="74"/>
      <c r="H56" s="74"/>
      <c r="I56" s="282" t="n">
        <f aca="false">Dados!D6*2</f>
        <v>137.67625</v>
      </c>
      <c r="J56" s="76"/>
      <c r="K56" s="77"/>
    </row>
    <row r="57" customFormat="false" ht="15.75" hidden="false" customHeight="false" outlineLevel="0" collapsed="false">
      <c r="A57" s="60" t="s">
        <v>58</v>
      </c>
      <c r="B57" s="60"/>
      <c r="C57" s="60"/>
      <c r="D57" s="60"/>
      <c r="E57" s="60"/>
      <c r="F57" s="60"/>
      <c r="G57" s="60"/>
      <c r="H57" s="60"/>
      <c r="I57" s="283" t="n">
        <f aca="false">SUM(I56:I56)</f>
        <v>137.67625</v>
      </c>
    </row>
    <row r="58" customFormat="false" ht="15.75" hidden="false" customHeight="false" outlineLevel="0" collapsed="false">
      <c r="A58" s="47" t="s">
        <v>59</v>
      </c>
      <c r="B58" s="47"/>
      <c r="C58" s="47"/>
      <c r="D58" s="47"/>
      <c r="E58" s="47"/>
      <c r="F58" s="47"/>
      <c r="G58" s="47"/>
      <c r="H58" s="47"/>
      <c r="I58" s="47"/>
    </row>
    <row r="59" customFormat="false" ht="15.75" hidden="false" customHeight="false" outlineLevel="0" collapsed="false">
      <c r="A59" s="79" t="s">
        <v>60</v>
      </c>
      <c r="B59" s="79"/>
      <c r="C59" s="79"/>
      <c r="D59" s="79"/>
      <c r="E59" s="79"/>
      <c r="F59" s="79"/>
      <c r="G59" s="79"/>
      <c r="H59" s="79"/>
      <c r="I59" s="79"/>
    </row>
    <row r="60" customFormat="false" ht="15.75" hidden="false" customHeight="false" outlineLevel="0" collapsed="false">
      <c r="A60" s="62" t="s">
        <v>61</v>
      </c>
      <c r="B60" s="80" t="s">
        <v>62</v>
      </c>
      <c r="C60" s="80"/>
      <c r="D60" s="80"/>
      <c r="E60" s="80"/>
      <c r="F60" s="80"/>
      <c r="G60" s="80"/>
      <c r="H60" s="81" t="s">
        <v>63</v>
      </c>
      <c r="I60" s="272" t="s">
        <v>35</v>
      </c>
    </row>
    <row r="61" customFormat="false" ht="15.75" hidden="false" customHeight="false" outlineLevel="0" collapsed="false">
      <c r="A61" s="82" t="s">
        <v>8</v>
      </c>
      <c r="B61" s="83" t="s">
        <v>64</v>
      </c>
      <c r="C61" s="83"/>
      <c r="D61" s="83"/>
      <c r="E61" s="83"/>
      <c r="F61" s="83"/>
      <c r="G61" s="83"/>
      <c r="H61" s="84" t="n">
        <v>0.2</v>
      </c>
      <c r="I61" s="273" t="n">
        <f aca="false">ROUND(($I$43-$I$38)*H61,2)</f>
        <v>593.87</v>
      </c>
      <c r="K61" s="66"/>
    </row>
    <row r="62" customFormat="false" ht="15.75" hidden="false" customHeight="false" outlineLevel="0" collapsed="false">
      <c r="A62" s="82" t="s">
        <v>10</v>
      </c>
      <c r="B62" s="83" t="s">
        <v>65</v>
      </c>
      <c r="C62" s="83"/>
      <c r="D62" s="83"/>
      <c r="E62" s="83"/>
      <c r="F62" s="83"/>
      <c r="G62" s="83"/>
      <c r="H62" s="85" t="n">
        <v>0.015</v>
      </c>
      <c r="I62" s="273" t="n">
        <f aca="false">ROUND(($I$43-$I$38)*H62,2)</f>
        <v>44.54</v>
      </c>
      <c r="K62" s="66"/>
    </row>
    <row r="63" customFormat="false" ht="15.75" hidden="false" customHeight="false" outlineLevel="0" collapsed="false">
      <c r="A63" s="82" t="s">
        <v>12</v>
      </c>
      <c r="B63" s="83" t="s">
        <v>66</v>
      </c>
      <c r="C63" s="83"/>
      <c r="D63" s="83"/>
      <c r="E63" s="83"/>
      <c r="F63" s="83"/>
      <c r="G63" s="83"/>
      <c r="H63" s="84" t="n">
        <v>0.01</v>
      </c>
      <c r="I63" s="273" t="n">
        <f aca="false">ROUND(($I$43-$I$38)*H63,2)</f>
        <v>29.69</v>
      </c>
      <c r="K63" s="66"/>
    </row>
    <row r="64" customFormat="false" ht="15.75" hidden="false" customHeight="false" outlineLevel="0" collapsed="false">
      <c r="A64" s="82" t="s">
        <v>14</v>
      </c>
      <c r="B64" s="83" t="s">
        <v>67</v>
      </c>
      <c r="C64" s="83"/>
      <c r="D64" s="83"/>
      <c r="E64" s="83"/>
      <c r="F64" s="83"/>
      <c r="G64" s="83"/>
      <c r="H64" s="86" t="n">
        <v>0.002</v>
      </c>
      <c r="I64" s="273" t="n">
        <f aca="false">ROUND(($I$43-$I$38)*H64,2)</f>
        <v>5.94</v>
      </c>
      <c r="K64" s="66"/>
    </row>
    <row r="65" customFormat="false" ht="15.75" hidden="false" customHeight="false" outlineLevel="0" collapsed="false">
      <c r="A65" s="82" t="s">
        <v>40</v>
      </c>
      <c r="B65" s="83" t="s">
        <v>68</v>
      </c>
      <c r="C65" s="83"/>
      <c r="D65" s="83"/>
      <c r="E65" s="83"/>
      <c r="F65" s="83"/>
      <c r="G65" s="83"/>
      <c r="H65" s="86" t="n">
        <v>0.025</v>
      </c>
      <c r="I65" s="273" t="n">
        <f aca="false">ROUND(($I$43-$I$38)*H65,2)</f>
        <v>74.23</v>
      </c>
      <c r="K65" s="66"/>
    </row>
    <row r="66" customFormat="false" ht="15.75" hidden="false" customHeight="false" outlineLevel="0" collapsed="false">
      <c r="A66" s="82" t="s">
        <v>42</v>
      </c>
      <c r="B66" s="83" t="s">
        <v>69</v>
      </c>
      <c r="C66" s="83"/>
      <c r="D66" s="83"/>
      <c r="E66" s="83"/>
      <c r="F66" s="83"/>
      <c r="G66" s="83"/>
      <c r="H66" s="84" t="n">
        <v>0.08</v>
      </c>
      <c r="I66" s="273" t="n">
        <f aca="false">ROUND(($I$43-$I$38)*H66,2)</f>
        <v>237.55</v>
      </c>
      <c r="K66" s="66"/>
    </row>
    <row r="67" customFormat="false" ht="15.75" hidden="false" customHeight="false" outlineLevel="0" collapsed="false">
      <c r="A67" s="82" t="s">
        <v>70</v>
      </c>
      <c r="B67" s="87" t="s">
        <v>71</v>
      </c>
      <c r="C67" s="87"/>
      <c r="D67" s="87"/>
      <c r="E67" s="87"/>
      <c r="F67" s="88" t="s">
        <v>72</v>
      </c>
      <c r="G67" s="89" t="s">
        <v>196</v>
      </c>
      <c r="H67" s="86" t="n">
        <v>0.015</v>
      </c>
      <c r="I67" s="273" t="n">
        <f aca="false">ROUND(($I$43-$I$38)*H67,2)</f>
        <v>44.54</v>
      </c>
      <c r="K67" s="66"/>
    </row>
    <row r="68" customFormat="false" ht="15.75" hidden="false" customHeight="false" outlineLevel="0" collapsed="false">
      <c r="A68" s="82" t="s">
        <v>74</v>
      </c>
      <c r="B68" s="83" t="s">
        <v>75</v>
      </c>
      <c r="C68" s="83"/>
      <c r="D68" s="83"/>
      <c r="E68" s="83"/>
      <c r="F68" s="83"/>
      <c r="G68" s="83"/>
      <c r="H68" s="86" t="n">
        <v>0.006</v>
      </c>
      <c r="I68" s="273" t="n">
        <f aca="false">ROUND(($I$43-$I$38)*H68,2)</f>
        <v>17.82</v>
      </c>
      <c r="K68" s="66"/>
    </row>
    <row r="69" customFormat="false" ht="15.75" hidden="false" customHeight="false" outlineLevel="0" collapsed="false">
      <c r="A69" s="90" t="s">
        <v>76</v>
      </c>
      <c r="B69" s="90"/>
      <c r="C69" s="90"/>
      <c r="D69" s="90"/>
      <c r="E69" s="90"/>
      <c r="F69" s="90"/>
      <c r="G69" s="90"/>
      <c r="H69" s="91" t="n">
        <f aca="false">SUM(H61:H68)</f>
        <v>0.353</v>
      </c>
      <c r="I69" s="284" t="n">
        <f aca="false">SUM(I61:I68)</f>
        <v>1048.18</v>
      </c>
      <c r="K69" s="66"/>
    </row>
    <row r="70" customFormat="false" ht="15.75" hidden="false" customHeight="false" outlineLevel="0" collapsed="false">
      <c r="A70" s="93" t="s">
        <v>77</v>
      </c>
      <c r="B70" s="93"/>
      <c r="C70" s="93"/>
      <c r="D70" s="93"/>
      <c r="E70" s="93"/>
      <c r="F70" s="93"/>
      <c r="G70" s="93"/>
      <c r="H70" s="93"/>
      <c r="I70" s="93"/>
    </row>
    <row r="71" customFormat="false" ht="15.75" hidden="false" customHeight="false" outlineLevel="0" collapsed="false">
      <c r="A71" s="94" t="s">
        <v>78</v>
      </c>
      <c r="B71" s="94"/>
      <c r="C71" s="94"/>
      <c r="D71" s="94"/>
      <c r="E71" s="94"/>
      <c r="F71" s="94"/>
      <c r="G71" s="94"/>
      <c r="H71" s="94"/>
      <c r="I71" s="94"/>
    </row>
    <row r="72" customFormat="false" ht="15.75" hidden="false" customHeight="false" outlineLevel="0" collapsed="false">
      <c r="A72" s="79" t="s">
        <v>79</v>
      </c>
      <c r="B72" s="79"/>
      <c r="C72" s="79"/>
      <c r="D72" s="79"/>
      <c r="E72" s="79"/>
      <c r="F72" s="79"/>
      <c r="G72" s="79"/>
      <c r="H72" s="79"/>
      <c r="I72" s="79"/>
    </row>
    <row r="73" customFormat="false" ht="15.75" hidden="false" customHeight="false" outlineLevel="0" collapsed="false">
      <c r="A73" s="62" t="s">
        <v>80</v>
      </c>
      <c r="B73" s="81" t="s">
        <v>81</v>
      </c>
      <c r="C73" s="81"/>
      <c r="D73" s="81"/>
      <c r="E73" s="81"/>
      <c r="F73" s="81"/>
      <c r="G73" s="81"/>
      <c r="H73" s="81"/>
      <c r="I73" s="272" t="s">
        <v>35</v>
      </c>
    </row>
    <row r="74" customFormat="false" ht="30.75" hidden="false" customHeight="true" outlineLevel="0" collapsed="false">
      <c r="A74" s="17" t="s">
        <v>8</v>
      </c>
      <c r="B74" s="95" t="s">
        <v>82</v>
      </c>
      <c r="C74" s="95"/>
      <c r="D74" s="95"/>
      <c r="E74" s="95"/>
      <c r="F74" s="95"/>
      <c r="G74" s="95"/>
      <c r="H74" s="95"/>
      <c r="I74" s="285" t="n">
        <f aca="false">ROUND(I43/12,2)</f>
        <v>280.44</v>
      </c>
      <c r="K74" s="66"/>
    </row>
    <row r="75" customFormat="false" ht="15.75" hidden="false" customHeight="false" outlineLevel="0" collapsed="false">
      <c r="A75" s="97" t="s">
        <v>83</v>
      </c>
      <c r="B75" s="97"/>
      <c r="C75" s="97"/>
      <c r="D75" s="97"/>
      <c r="E75" s="97"/>
      <c r="F75" s="97"/>
      <c r="G75" s="97"/>
      <c r="H75" s="97"/>
      <c r="I75" s="273" t="n">
        <f aca="false">SUM(I74:I74)</f>
        <v>280.44</v>
      </c>
      <c r="K75" s="66"/>
    </row>
    <row r="76" customFormat="false" ht="15.75" hidden="false" customHeight="false" outlineLevel="0" collapsed="false">
      <c r="A76" s="17" t="s">
        <v>10</v>
      </c>
      <c r="B76" s="83" t="s">
        <v>84</v>
      </c>
      <c r="C76" s="83"/>
      <c r="D76" s="83"/>
      <c r="E76" s="83"/>
      <c r="F76" s="83"/>
      <c r="G76" s="83"/>
      <c r="H76" s="83"/>
      <c r="I76" s="273" t="n">
        <f aca="false">ROUND(I75*H69,2)</f>
        <v>99</v>
      </c>
      <c r="K76" s="66"/>
    </row>
    <row r="77" customFormat="false" ht="15.75" hidden="false" customHeight="false" outlineLevel="0" collapsed="false">
      <c r="A77" s="60" t="s">
        <v>76</v>
      </c>
      <c r="B77" s="60"/>
      <c r="C77" s="60"/>
      <c r="D77" s="60"/>
      <c r="E77" s="60"/>
      <c r="F77" s="60"/>
      <c r="G77" s="60"/>
      <c r="H77" s="60"/>
      <c r="I77" s="275" t="n">
        <f aca="false">SUM(I75:I76)</f>
        <v>379.44</v>
      </c>
      <c r="K77" s="66"/>
    </row>
    <row r="78" customFormat="false" ht="15.75" hidden="false" customHeight="false" outlineLevel="0" collapsed="false">
      <c r="A78" s="79" t="s">
        <v>85</v>
      </c>
      <c r="B78" s="79"/>
      <c r="C78" s="79"/>
      <c r="D78" s="79"/>
      <c r="E78" s="79"/>
      <c r="F78" s="79"/>
      <c r="G78" s="79"/>
      <c r="H78" s="79"/>
      <c r="I78" s="79"/>
    </row>
    <row r="79" customFormat="false" ht="15.75" hidden="false" customHeight="false" outlineLevel="0" collapsed="false">
      <c r="A79" s="62" t="s">
        <v>86</v>
      </c>
      <c r="B79" s="81" t="s">
        <v>87</v>
      </c>
      <c r="C79" s="81"/>
      <c r="D79" s="81"/>
      <c r="E79" s="81"/>
      <c r="F79" s="81"/>
      <c r="G79" s="81"/>
      <c r="H79" s="81"/>
      <c r="I79" s="272" t="s">
        <v>35</v>
      </c>
    </row>
    <row r="80" customFormat="false" ht="15.75" hidden="false" customHeight="false" outlineLevel="0" collapsed="false">
      <c r="A80" s="17" t="s">
        <v>8</v>
      </c>
      <c r="B80" s="52" t="s">
        <v>88</v>
      </c>
      <c r="C80" s="52"/>
      <c r="D80" s="52"/>
      <c r="E80" s="52"/>
      <c r="F80" s="52"/>
      <c r="G80" s="52"/>
      <c r="H80" s="52"/>
      <c r="I80" s="282" t="n">
        <f aca="false">ROUND((((I43+I43/3)*(4/12))/12)*0.02,2)</f>
        <v>2.49</v>
      </c>
    </row>
    <row r="81" customFormat="false" ht="15.75" hidden="false" customHeight="false" outlineLevel="0" collapsed="false">
      <c r="A81" s="17" t="s">
        <v>10</v>
      </c>
      <c r="B81" s="83" t="s">
        <v>89</v>
      </c>
      <c r="C81" s="83"/>
      <c r="D81" s="83"/>
      <c r="E81" s="83"/>
      <c r="F81" s="83"/>
      <c r="G81" s="83"/>
      <c r="H81" s="83"/>
      <c r="I81" s="282" t="n">
        <f aca="false">ROUND(I80*H69,2)</f>
        <v>0.88</v>
      </c>
    </row>
    <row r="82" customFormat="false" ht="15.75" hidden="false" customHeight="false" outlineLevel="0" collapsed="false">
      <c r="A82" s="60" t="s">
        <v>76</v>
      </c>
      <c r="B82" s="60"/>
      <c r="C82" s="60"/>
      <c r="D82" s="60"/>
      <c r="E82" s="60"/>
      <c r="F82" s="60"/>
      <c r="G82" s="60"/>
      <c r="H82" s="60"/>
      <c r="I82" s="275" t="n">
        <f aca="false">SUM(I80:I81)</f>
        <v>3.37</v>
      </c>
    </row>
    <row r="83" customFormat="false" ht="15.75" hidden="false" customHeight="false" outlineLevel="0" collapsed="false">
      <c r="A83" s="79" t="s">
        <v>90</v>
      </c>
      <c r="B83" s="79"/>
      <c r="C83" s="79"/>
      <c r="D83" s="79"/>
      <c r="E83" s="79"/>
      <c r="F83" s="79"/>
      <c r="G83" s="79"/>
      <c r="H83" s="79"/>
      <c r="I83" s="79"/>
    </row>
    <row r="84" customFormat="false" ht="15.75" hidden="false" customHeight="false" outlineLevel="0" collapsed="false">
      <c r="A84" s="62" t="s">
        <v>91</v>
      </c>
      <c r="B84" s="81" t="s">
        <v>92</v>
      </c>
      <c r="C84" s="81"/>
      <c r="D84" s="81"/>
      <c r="E84" s="81"/>
      <c r="F84" s="81"/>
      <c r="G84" s="81"/>
      <c r="H84" s="81"/>
      <c r="I84" s="272" t="s">
        <v>35</v>
      </c>
    </row>
    <row r="85" customFormat="false" ht="30" hidden="false" customHeight="true" outlineLevel="0" collapsed="false">
      <c r="A85" s="17" t="s">
        <v>8</v>
      </c>
      <c r="B85" s="99" t="s">
        <v>93</v>
      </c>
      <c r="C85" s="99"/>
      <c r="D85" s="99"/>
      <c r="E85" s="99"/>
      <c r="F85" s="99"/>
      <c r="G85" s="99"/>
      <c r="H85" s="99"/>
      <c r="I85" s="273" t="n">
        <f aca="false">ROUND((I43/12)*(30/30)*0.05,2)</f>
        <v>14.02</v>
      </c>
    </row>
    <row r="86" customFormat="false" ht="15.75" hidden="false" customHeight="true" outlineLevel="0" collapsed="false">
      <c r="A86" s="17" t="s">
        <v>10</v>
      </c>
      <c r="B86" s="83" t="s">
        <v>94</v>
      </c>
      <c r="C86" s="83"/>
      <c r="D86" s="83"/>
      <c r="E86" s="83"/>
      <c r="F86" s="83"/>
      <c r="G86" s="83"/>
      <c r="H86" s="83"/>
      <c r="I86" s="273" t="n">
        <f aca="false">ROUND(I85*H66,2)</f>
        <v>1.12</v>
      </c>
    </row>
    <row r="87" customFormat="false" ht="49.5" hidden="false" customHeight="true" outlineLevel="0" collapsed="false">
      <c r="A87" s="17" t="s">
        <v>12</v>
      </c>
      <c r="B87" s="95" t="s">
        <v>95</v>
      </c>
      <c r="C87" s="95"/>
      <c r="D87" s="95"/>
      <c r="E87" s="95"/>
      <c r="F87" s="95"/>
      <c r="G87" s="95"/>
      <c r="H87" s="95"/>
      <c r="I87" s="285" t="n">
        <f aca="false">ROUND(0.0024*I43,2)</f>
        <v>8.08</v>
      </c>
      <c r="K87" s="66"/>
    </row>
    <row r="88" customFormat="false" ht="30.75" hidden="false" customHeight="true" outlineLevel="0" collapsed="false">
      <c r="A88" s="100" t="s">
        <v>14</v>
      </c>
      <c r="B88" s="99" t="s">
        <v>96</v>
      </c>
      <c r="C88" s="99"/>
      <c r="D88" s="99"/>
      <c r="E88" s="99"/>
      <c r="F88" s="99"/>
      <c r="G88" s="99"/>
      <c r="H88" s="99"/>
      <c r="I88" s="273" t="n">
        <v>0</v>
      </c>
      <c r="N88" s="101"/>
    </row>
    <row r="89" customFormat="false" ht="18" hidden="false" customHeight="true" outlineLevel="0" collapsed="false">
      <c r="A89" s="17" t="s">
        <v>40</v>
      </c>
      <c r="B89" s="83" t="s">
        <v>97</v>
      </c>
      <c r="C89" s="83"/>
      <c r="D89" s="83"/>
      <c r="E89" s="83"/>
      <c r="F89" s="83"/>
      <c r="G89" s="83"/>
      <c r="H89" s="83"/>
      <c r="I89" s="273" t="n">
        <f aca="false">ROUND(I88*H69,2)</f>
        <v>0</v>
      </c>
      <c r="J89" s="13"/>
      <c r="K89" s="13"/>
      <c r="L89" s="102"/>
    </row>
    <row r="90" customFormat="false" ht="48.75" hidden="false" customHeight="true" outlineLevel="0" collapsed="false">
      <c r="A90" s="17" t="s">
        <v>42</v>
      </c>
      <c r="B90" s="95" t="s">
        <v>98</v>
      </c>
      <c r="C90" s="95"/>
      <c r="D90" s="95"/>
      <c r="E90" s="95"/>
      <c r="F90" s="95"/>
      <c r="G90" s="95"/>
      <c r="H90" s="95"/>
      <c r="I90" s="285" t="n">
        <f aca="false">ROUND(0.0476*I43,2)</f>
        <v>160.19</v>
      </c>
      <c r="J90" s="13"/>
      <c r="K90" s="66"/>
      <c r="L90" s="13"/>
    </row>
    <row r="91" customFormat="false" ht="20.25" hidden="false" customHeight="true" outlineLevel="0" collapsed="false">
      <c r="A91" s="60" t="s">
        <v>76</v>
      </c>
      <c r="B91" s="60"/>
      <c r="C91" s="60"/>
      <c r="D91" s="60"/>
      <c r="E91" s="60"/>
      <c r="F91" s="60"/>
      <c r="G91" s="60"/>
      <c r="H91" s="60"/>
      <c r="I91" s="275" t="n">
        <f aca="false">SUM(I85:I90)</f>
        <v>183.41</v>
      </c>
    </row>
    <row r="92" customFormat="false" ht="20.25" hidden="false" customHeight="true" outlineLevel="0" collapsed="false">
      <c r="A92" s="79" t="s">
        <v>99</v>
      </c>
      <c r="B92" s="79"/>
      <c r="C92" s="79"/>
      <c r="D92" s="79"/>
      <c r="E92" s="79"/>
      <c r="F92" s="79"/>
      <c r="G92" s="79"/>
      <c r="H92" s="79"/>
      <c r="I92" s="79"/>
    </row>
    <row r="93" customFormat="false" ht="15.75" hidden="false" customHeight="false" outlineLevel="0" collapsed="false">
      <c r="A93" s="62" t="s">
        <v>100</v>
      </c>
      <c r="B93" s="81" t="s">
        <v>101</v>
      </c>
      <c r="C93" s="81"/>
      <c r="D93" s="81"/>
      <c r="E93" s="81"/>
      <c r="F93" s="81"/>
      <c r="G93" s="81"/>
      <c r="H93" s="81"/>
      <c r="I93" s="272" t="s">
        <v>35</v>
      </c>
    </row>
    <row r="94" customFormat="false" ht="49.5" hidden="false" customHeight="true" outlineLevel="0" collapsed="false">
      <c r="A94" s="17" t="s">
        <v>8</v>
      </c>
      <c r="B94" s="95" t="s">
        <v>102</v>
      </c>
      <c r="C94" s="95"/>
      <c r="D94" s="95"/>
      <c r="E94" s="95"/>
      <c r="F94" s="95"/>
      <c r="G94" s="95"/>
      <c r="H94" s="95"/>
      <c r="I94" s="285" t="n">
        <f aca="false">ROUND(0.121*I43,2)</f>
        <v>407.21</v>
      </c>
      <c r="K94" s="66"/>
    </row>
    <row r="95" customFormat="false" ht="17.25" hidden="false" customHeight="true" outlineLevel="0" collapsed="false">
      <c r="A95" s="17" t="s">
        <v>10</v>
      </c>
      <c r="B95" s="52" t="s">
        <v>103</v>
      </c>
      <c r="C95" s="52"/>
      <c r="D95" s="52"/>
      <c r="E95" s="52"/>
      <c r="F95" s="52"/>
      <c r="G95" s="52"/>
      <c r="H95" s="52"/>
      <c r="I95" s="273" t="n">
        <f aca="false">ROUND(((I43/30)*5)/12,2)</f>
        <v>46.74</v>
      </c>
    </row>
    <row r="96" customFormat="false" ht="16.5" hidden="false" customHeight="true" outlineLevel="0" collapsed="false">
      <c r="A96" s="17" t="s">
        <v>12</v>
      </c>
      <c r="B96" s="52" t="s">
        <v>104</v>
      </c>
      <c r="C96" s="52"/>
      <c r="D96" s="52"/>
      <c r="E96" s="52"/>
      <c r="F96" s="52"/>
      <c r="G96" s="52"/>
      <c r="H96" s="52"/>
      <c r="I96" s="273" t="n">
        <f aca="false">ROUND((((I43/30)*5)/12)*0.015,2)</f>
        <v>0.7</v>
      </c>
    </row>
    <row r="97" customFormat="false" ht="17.25" hidden="false" customHeight="true" outlineLevel="0" collapsed="false">
      <c r="A97" s="17" t="s">
        <v>14</v>
      </c>
      <c r="B97" s="52" t="s">
        <v>105</v>
      </c>
      <c r="C97" s="52"/>
      <c r="D97" s="52"/>
      <c r="E97" s="52"/>
      <c r="F97" s="52"/>
      <c r="G97" s="52"/>
      <c r="H97" s="52"/>
      <c r="I97" s="273" t="n">
        <f aca="false">ROUND(((I43/30)*2.96)/12,2)</f>
        <v>27.67</v>
      </c>
    </row>
    <row r="98" customFormat="false" ht="16.5" hidden="false" customHeight="true" outlineLevel="0" collapsed="false">
      <c r="A98" s="17" t="s">
        <v>40</v>
      </c>
      <c r="B98" s="52" t="s">
        <v>106</v>
      </c>
      <c r="C98" s="52"/>
      <c r="D98" s="52"/>
      <c r="E98" s="52"/>
      <c r="F98" s="52"/>
      <c r="G98" s="52"/>
      <c r="H98" s="52"/>
      <c r="I98" s="273" t="n">
        <f aca="false">ROUND((((I43/30)*15)/12)*0.0078,2)</f>
        <v>1.09</v>
      </c>
    </row>
    <row r="99" customFormat="false" ht="15.75" hidden="false" customHeight="false" outlineLevel="0" collapsed="false">
      <c r="A99" s="97" t="s">
        <v>83</v>
      </c>
      <c r="B99" s="97"/>
      <c r="C99" s="97"/>
      <c r="D99" s="97"/>
      <c r="E99" s="97"/>
      <c r="F99" s="97"/>
      <c r="G99" s="97"/>
      <c r="H99" s="97"/>
      <c r="I99" s="281" t="n">
        <f aca="false">SUM(I94:I98)</f>
        <v>483.41</v>
      </c>
      <c r="K99" s="66"/>
    </row>
    <row r="100" customFormat="false" ht="18" hidden="false" customHeight="true" outlineLevel="0" collapsed="false">
      <c r="A100" s="17" t="s">
        <v>70</v>
      </c>
      <c r="B100" s="83" t="s">
        <v>107</v>
      </c>
      <c r="C100" s="83"/>
      <c r="D100" s="83"/>
      <c r="E100" s="83"/>
      <c r="F100" s="83"/>
      <c r="G100" s="83"/>
      <c r="H100" s="83"/>
      <c r="I100" s="286" t="n">
        <f aca="false">ROUND(I99*H69,2)</f>
        <v>170.64</v>
      </c>
      <c r="K100" s="66"/>
    </row>
    <row r="101" customFormat="false" ht="15.75" hidden="false" customHeight="false" outlineLevel="0" collapsed="false">
      <c r="A101" s="60" t="s">
        <v>76</v>
      </c>
      <c r="B101" s="60"/>
      <c r="C101" s="60"/>
      <c r="D101" s="60"/>
      <c r="E101" s="60"/>
      <c r="F101" s="60"/>
      <c r="G101" s="60"/>
      <c r="H101" s="60"/>
      <c r="I101" s="275" t="n">
        <f aca="false">SUM(I99+I100)</f>
        <v>654.05</v>
      </c>
      <c r="K101" s="66"/>
    </row>
    <row r="102" customFormat="false" ht="15.75" hidden="false" customHeight="false" outlineLevel="0" collapsed="false">
      <c r="A102" s="104" t="s">
        <v>108</v>
      </c>
      <c r="B102" s="104"/>
      <c r="C102" s="104"/>
      <c r="D102" s="104"/>
      <c r="E102" s="104"/>
      <c r="F102" s="104"/>
      <c r="G102" s="104"/>
      <c r="H102" s="104"/>
      <c r="I102" s="104"/>
    </row>
    <row r="103" customFormat="false" ht="15.75" hidden="false" customHeight="false" outlineLevel="0" collapsed="false">
      <c r="A103" s="62" t="n">
        <v>4</v>
      </c>
      <c r="B103" s="81" t="s">
        <v>109</v>
      </c>
      <c r="C103" s="81"/>
      <c r="D103" s="81"/>
      <c r="E103" s="81"/>
      <c r="F103" s="81"/>
      <c r="G103" s="81"/>
      <c r="H103" s="81"/>
      <c r="I103" s="272" t="s">
        <v>35</v>
      </c>
    </row>
    <row r="104" customFormat="false" ht="15.75" hidden="false" customHeight="false" outlineLevel="0" collapsed="false">
      <c r="A104" s="17" t="s">
        <v>61</v>
      </c>
      <c r="B104" s="83" t="s">
        <v>62</v>
      </c>
      <c r="C104" s="83"/>
      <c r="D104" s="83"/>
      <c r="E104" s="83"/>
      <c r="F104" s="83"/>
      <c r="G104" s="83"/>
      <c r="H104" s="83"/>
      <c r="I104" s="282" t="n">
        <f aca="false">I69</f>
        <v>1048.18</v>
      </c>
    </row>
    <row r="105" customFormat="false" ht="15.75" hidden="false" customHeight="false" outlineLevel="0" collapsed="false">
      <c r="A105" s="17" t="s">
        <v>80</v>
      </c>
      <c r="B105" s="83" t="s">
        <v>110</v>
      </c>
      <c r="C105" s="83"/>
      <c r="D105" s="83"/>
      <c r="E105" s="83"/>
      <c r="F105" s="83"/>
      <c r="G105" s="83"/>
      <c r="H105" s="83"/>
      <c r="I105" s="282" t="n">
        <f aca="false">I77</f>
        <v>379.44</v>
      </c>
    </row>
    <row r="106" customFormat="false" ht="15.75" hidden="false" customHeight="false" outlineLevel="0" collapsed="false">
      <c r="A106" s="17" t="s">
        <v>86</v>
      </c>
      <c r="B106" s="83" t="s">
        <v>87</v>
      </c>
      <c r="C106" s="83"/>
      <c r="D106" s="83"/>
      <c r="E106" s="83"/>
      <c r="F106" s="83"/>
      <c r="G106" s="83"/>
      <c r="H106" s="83"/>
      <c r="I106" s="282" t="n">
        <f aca="false">I82</f>
        <v>3.37</v>
      </c>
    </row>
    <row r="107" customFormat="false" ht="15.75" hidden="false" customHeight="false" outlineLevel="0" collapsed="false">
      <c r="A107" s="17" t="s">
        <v>91</v>
      </c>
      <c r="B107" s="83" t="s">
        <v>111</v>
      </c>
      <c r="C107" s="83"/>
      <c r="D107" s="83"/>
      <c r="E107" s="83"/>
      <c r="F107" s="83"/>
      <c r="G107" s="83"/>
      <c r="H107" s="83"/>
      <c r="I107" s="282" t="n">
        <f aca="false">I91</f>
        <v>183.41</v>
      </c>
    </row>
    <row r="108" customFormat="false" ht="15.75" hidden="false" customHeight="false" outlineLevel="0" collapsed="false">
      <c r="A108" s="17" t="s">
        <v>100</v>
      </c>
      <c r="B108" s="83" t="s">
        <v>112</v>
      </c>
      <c r="C108" s="83"/>
      <c r="D108" s="83"/>
      <c r="E108" s="83"/>
      <c r="F108" s="83"/>
      <c r="G108" s="83"/>
      <c r="H108" s="83"/>
      <c r="I108" s="282" t="n">
        <f aca="false">I101</f>
        <v>654.05</v>
      </c>
    </row>
    <row r="109" customFormat="false" ht="15.75" hidden="false" customHeight="false" outlineLevel="0" collapsed="false">
      <c r="A109" s="60" t="s">
        <v>76</v>
      </c>
      <c r="B109" s="60"/>
      <c r="C109" s="60"/>
      <c r="D109" s="60"/>
      <c r="E109" s="60"/>
      <c r="F109" s="60"/>
      <c r="G109" s="60"/>
      <c r="H109" s="60"/>
      <c r="I109" s="275" t="n">
        <f aca="false">SUM(I104:I108)</f>
        <v>2268.45</v>
      </c>
      <c r="K109" s="106"/>
    </row>
    <row r="110" customFormat="false" ht="16.5" hidden="false" customHeight="true" outlineLevel="0" collapsed="false">
      <c r="A110" s="107" t="s">
        <v>113</v>
      </c>
      <c r="B110" s="107"/>
      <c r="C110" s="107"/>
      <c r="D110" s="107"/>
      <c r="E110" s="107"/>
      <c r="F110" s="107"/>
      <c r="G110" s="107"/>
      <c r="H110" s="107"/>
      <c r="I110" s="107"/>
    </row>
    <row r="111" customFormat="false" ht="15.75" hidden="false" customHeight="false" outlineLevel="0" collapsed="false">
      <c r="A111" s="62" t="n">
        <v>5</v>
      </c>
      <c r="B111" s="63" t="s">
        <v>114</v>
      </c>
      <c r="C111" s="63"/>
      <c r="D111" s="63"/>
      <c r="E111" s="63"/>
      <c r="F111" s="63"/>
      <c r="G111" s="63"/>
      <c r="H111" s="108" t="s">
        <v>63</v>
      </c>
      <c r="I111" s="272" t="s">
        <v>35</v>
      </c>
    </row>
    <row r="112" customFormat="false" ht="47.25" hidden="false" customHeight="true" outlineLevel="0" collapsed="false">
      <c r="A112" s="109" t="s">
        <v>115</v>
      </c>
      <c r="B112" s="109"/>
      <c r="C112" s="109"/>
      <c r="D112" s="109"/>
      <c r="E112" s="109"/>
      <c r="F112" s="109"/>
      <c r="G112" s="109"/>
      <c r="H112" s="110" t="n">
        <v>0</v>
      </c>
      <c r="I112" s="287" t="n">
        <f aca="false">(I43+I52+I57+I109)</f>
        <v>6601.60825</v>
      </c>
    </row>
    <row r="113" customFormat="false" ht="15.75" hidden="false" customHeight="false" outlineLevel="0" collapsed="false">
      <c r="A113" s="17" t="s">
        <v>8</v>
      </c>
      <c r="B113" s="83" t="s">
        <v>116</v>
      </c>
      <c r="C113" s="83"/>
      <c r="D113" s="83"/>
      <c r="E113" s="83"/>
      <c r="F113" s="83"/>
      <c r="G113" s="83"/>
      <c r="H113" s="112" t="n">
        <f aca="false">'Alegrete 1.1'!H110</f>
        <v>0.1207</v>
      </c>
      <c r="I113" s="273" t="n">
        <f aca="false">ROUND(I112*H113,2)</f>
        <v>796.81</v>
      </c>
      <c r="J113" s="113"/>
    </row>
    <row r="114" customFormat="false" ht="46.5" hidden="false" customHeight="true" outlineLevel="0" collapsed="false">
      <c r="A114" s="109" t="s">
        <v>117</v>
      </c>
      <c r="B114" s="109"/>
      <c r="C114" s="109"/>
      <c r="D114" s="109"/>
      <c r="E114" s="109"/>
      <c r="F114" s="109"/>
      <c r="G114" s="109"/>
      <c r="H114" s="114" t="n">
        <v>0</v>
      </c>
      <c r="I114" s="288" t="n">
        <f aca="false">I112+I113</f>
        <v>7398.41825</v>
      </c>
      <c r="J114" s="113"/>
    </row>
    <row r="115" customFormat="false" ht="15.75" hidden="false" customHeight="false" outlineLevel="0" collapsed="false">
      <c r="A115" s="17" t="s">
        <v>10</v>
      </c>
      <c r="B115" s="83" t="s">
        <v>118</v>
      </c>
      <c r="C115" s="83"/>
      <c r="D115" s="83"/>
      <c r="E115" s="83"/>
      <c r="F115" s="83"/>
      <c r="G115" s="83"/>
      <c r="H115" s="112" t="n">
        <f aca="false">'Alegrete 1.1'!H112</f>
        <v>0.0818</v>
      </c>
      <c r="I115" s="273" t="n">
        <f aca="false">ROUND(I114*H115,2)</f>
        <v>605.19</v>
      </c>
      <c r="J115" s="116"/>
    </row>
    <row r="116" customFormat="false" ht="49.5" hidden="false" customHeight="true" outlineLevel="0" collapsed="false">
      <c r="A116" s="109" t="s">
        <v>119</v>
      </c>
      <c r="B116" s="109"/>
      <c r="C116" s="109"/>
      <c r="D116" s="109"/>
      <c r="E116" s="109"/>
      <c r="F116" s="109"/>
      <c r="G116" s="109"/>
      <c r="H116" s="117" t="n">
        <v>0</v>
      </c>
      <c r="I116" s="289" t="n">
        <f aca="false">I114+I115</f>
        <v>8003.60825</v>
      </c>
      <c r="J116" s="116"/>
    </row>
    <row r="117" customFormat="false" ht="15.75" hidden="false" customHeight="false" outlineLevel="0" collapsed="false">
      <c r="A117" s="17" t="s">
        <v>12</v>
      </c>
      <c r="B117" s="83" t="s">
        <v>120</v>
      </c>
      <c r="C117" s="83"/>
      <c r="D117" s="83"/>
      <c r="E117" s="83"/>
      <c r="F117" s="83"/>
      <c r="G117" s="83"/>
      <c r="H117" s="119" t="s">
        <v>198</v>
      </c>
      <c r="I117" s="290" t="s">
        <v>198</v>
      </c>
      <c r="J117" s="116"/>
    </row>
    <row r="118" customFormat="false" ht="15.75" hidden="false" customHeight="false" outlineLevel="0" collapsed="false">
      <c r="A118" s="17"/>
      <c r="B118" s="83" t="s">
        <v>121</v>
      </c>
      <c r="C118" s="83"/>
      <c r="D118" s="83"/>
      <c r="E118" s="83"/>
      <c r="F118" s="83"/>
      <c r="G118" s="83"/>
      <c r="H118" s="119" t="s">
        <v>198</v>
      </c>
      <c r="I118" s="290" t="s">
        <v>198</v>
      </c>
    </row>
    <row r="119" customFormat="false" ht="30" hidden="false" customHeight="true" outlineLevel="0" collapsed="false">
      <c r="A119" s="17"/>
      <c r="B119" s="67" t="s">
        <v>199</v>
      </c>
      <c r="C119" s="67"/>
      <c r="D119" s="67"/>
      <c r="E119" s="67"/>
      <c r="F119" s="67"/>
      <c r="G119" s="67"/>
      <c r="H119" s="121" t="n">
        <v>0.03</v>
      </c>
      <c r="I119" s="273" t="n">
        <f aca="false">ROUND(($I$116/(1-H126))*H119,2)</f>
        <v>257.21</v>
      </c>
    </row>
    <row r="120" customFormat="false" ht="26.25" hidden="false" customHeight="true" outlineLevel="0" collapsed="false">
      <c r="A120" s="17"/>
      <c r="B120" s="67" t="s">
        <v>200</v>
      </c>
      <c r="C120" s="67"/>
      <c r="D120" s="67"/>
      <c r="E120" s="67"/>
      <c r="F120" s="67"/>
      <c r="G120" s="67"/>
      <c r="H120" s="121" t="n">
        <v>0.0065</v>
      </c>
      <c r="I120" s="273" t="n">
        <f aca="false">ROUND(($I$116/(1-H126))*H120,2)</f>
        <v>55.73</v>
      </c>
      <c r="K120" s="66"/>
    </row>
    <row r="121" customFormat="false" ht="30" hidden="false" customHeight="true" outlineLevel="0" collapsed="false">
      <c r="A121" s="17"/>
      <c r="B121" s="122" t="s">
        <v>124</v>
      </c>
      <c r="C121" s="122"/>
      <c r="D121" s="122"/>
      <c r="E121" s="122"/>
      <c r="F121" s="122"/>
      <c r="G121" s="122"/>
      <c r="H121" s="121" t="s">
        <v>198</v>
      </c>
      <c r="I121" s="290" t="s">
        <v>198</v>
      </c>
      <c r="K121" s="66"/>
    </row>
    <row r="122" customFormat="false" ht="15.75" hidden="false" customHeight="false" outlineLevel="0" collapsed="false">
      <c r="A122" s="17"/>
      <c r="B122" s="83" t="s">
        <v>125</v>
      </c>
      <c r="C122" s="83"/>
      <c r="D122" s="83"/>
      <c r="E122" s="83"/>
      <c r="F122" s="83"/>
      <c r="G122" s="83"/>
      <c r="H122" s="119" t="s">
        <v>198</v>
      </c>
      <c r="I122" s="290" t="s">
        <v>198</v>
      </c>
    </row>
    <row r="123" customFormat="false" ht="15.75" hidden="false" customHeight="false" outlineLevel="0" collapsed="false">
      <c r="A123" s="17"/>
      <c r="B123" s="83" t="s">
        <v>126</v>
      </c>
      <c r="C123" s="83"/>
      <c r="D123" s="83"/>
      <c r="E123" s="83"/>
      <c r="F123" s="83"/>
      <c r="G123" s="83"/>
      <c r="H123" s="119" t="s">
        <v>198</v>
      </c>
      <c r="I123" s="290" t="s">
        <v>198</v>
      </c>
      <c r="K123" s="66"/>
    </row>
    <row r="124" customFormat="false" ht="15.75" hidden="false" customHeight="false" outlineLevel="0" collapsed="false">
      <c r="A124" s="17"/>
      <c r="B124" s="52" t="s">
        <v>201</v>
      </c>
      <c r="C124" s="52"/>
      <c r="D124" s="52"/>
      <c r="E124" s="52"/>
      <c r="F124" s="52"/>
      <c r="G124" s="52"/>
      <c r="H124" s="124" t="n">
        <v>0.03</v>
      </c>
      <c r="I124" s="273" t="n">
        <f aca="false">ROUND(($I$116/(1-H126))*H124,2)</f>
        <v>257.21</v>
      </c>
    </row>
    <row r="125" customFormat="false" ht="15.75" hidden="false" customHeight="false" outlineLevel="0" collapsed="false">
      <c r="A125" s="125" t="s">
        <v>76</v>
      </c>
      <c r="B125" s="125"/>
      <c r="C125" s="125"/>
      <c r="D125" s="125"/>
      <c r="E125" s="125"/>
      <c r="F125" s="125"/>
      <c r="G125" s="125"/>
      <c r="H125" s="125"/>
      <c r="I125" s="291" t="n">
        <f aca="false">I113+I115+I119+I120+I124</f>
        <v>1972.15</v>
      </c>
    </row>
    <row r="126" customFormat="false" ht="15.75" hidden="false" customHeight="false" outlineLevel="0" collapsed="false">
      <c r="A126" s="127" t="s">
        <v>128</v>
      </c>
      <c r="B126" s="127"/>
      <c r="C126" s="127"/>
      <c r="D126" s="127"/>
      <c r="E126" s="127"/>
      <c r="F126" s="127"/>
      <c r="G126" s="127"/>
      <c r="H126" s="128" t="n">
        <f aca="false">SUM(H119:H124)</f>
        <v>0.0665</v>
      </c>
      <c r="I126" s="292" t="n">
        <f aca="false">SUM(I119+I120+I124)</f>
        <v>570.15</v>
      </c>
    </row>
    <row r="127" customFormat="false" ht="15.75" hidden="false" customHeight="false" outlineLevel="0" collapsed="false">
      <c r="A127" s="236" t="s">
        <v>129</v>
      </c>
      <c r="B127" s="236"/>
      <c r="C127" s="322" t="s">
        <v>130</v>
      </c>
      <c r="D127" s="322"/>
      <c r="E127" s="322"/>
      <c r="F127" s="322"/>
      <c r="G127" s="322"/>
      <c r="H127" s="322"/>
      <c r="I127" s="322"/>
    </row>
    <row r="128" customFormat="false" ht="15.75" hidden="false" customHeight="false" outlineLevel="0" collapsed="false">
      <c r="A128" s="236"/>
      <c r="B128" s="236"/>
      <c r="C128" s="323" t="s">
        <v>131</v>
      </c>
      <c r="D128" s="323"/>
      <c r="E128" s="323"/>
      <c r="F128" s="323"/>
      <c r="G128" s="323"/>
      <c r="H128" s="323"/>
      <c r="I128" s="323"/>
    </row>
    <row r="129" customFormat="false" ht="15.75" hidden="false" customHeight="false" outlineLevel="0" collapsed="false">
      <c r="A129" s="133" t="s">
        <v>132</v>
      </c>
      <c r="B129" s="133"/>
      <c r="C129" s="133"/>
      <c r="D129" s="133"/>
      <c r="E129" s="133"/>
      <c r="F129" s="133"/>
      <c r="G129" s="133"/>
      <c r="H129" s="133"/>
      <c r="I129" s="133"/>
    </row>
    <row r="130" customFormat="false" ht="15.75" hidden="false" customHeight="false" outlineLevel="0" collapsed="false">
      <c r="A130" s="94" t="s">
        <v>133</v>
      </c>
      <c r="B130" s="94"/>
      <c r="C130" s="94"/>
      <c r="D130" s="94"/>
      <c r="E130" s="94"/>
      <c r="F130" s="94"/>
      <c r="G130" s="94"/>
      <c r="H130" s="94"/>
      <c r="I130" s="94"/>
    </row>
    <row r="131" customFormat="false" ht="15.75" hidden="false" customHeight="false" outlineLevel="0" collapsed="false">
      <c r="A131" s="295"/>
      <c r="B131" s="295"/>
      <c r="C131" s="295"/>
      <c r="D131" s="295"/>
      <c r="E131" s="295"/>
      <c r="F131" s="295"/>
      <c r="G131" s="295"/>
      <c r="H131" s="295"/>
      <c r="I131" s="295"/>
    </row>
    <row r="132" customFormat="false" ht="15.75" hidden="false" customHeight="false" outlineLevel="0" collapsed="false">
      <c r="A132" s="33" t="s">
        <v>134</v>
      </c>
      <c r="B132" s="33"/>
      <c r="C132" s="33"/>
      <c r="D132" s="33"/>
      <c r="E132" s="33"/>
      <c r="F132" s="33"/>
      <c r="G132" s="33"/>
      <c r="H132" s="33"/>
      <c r="I132" s="33"/>
    </row>
    <row r="133" customFormat="false" ht="15.75" hidden="false" customHeight="false" outlineLevel="0" collapsed="false">
      <c r="A133" s="135" t="s">
        <v>135</v>
      </c>
      <c r="B133" s="135"/>
      <c r="C133" s="135"/>
      <c r="D133" s="135"/>
      <c r="E133" s="135"/>
      <c r="F133" s="135"/>
      <c r="G133" s="135"/>
      <c r="H133" s="135"/>
      <c r="I133" s="135"/>
    </row>
    <row r="134" customFormat="false" ht="15.75" hidden="false" customHeight="false" outlineLevel="0" collapsed="false">
      <c r="A134" s="136" t="s">
        <v>136</v>
      </c>
      <c r="B134" s="136"/>
      <c r="C134" s="136"/>
      <c r="D134" s="136"/>
      <c r="E134" s="136"/>
      <c r="F134" s="136"/>
      <c r="G134" s="136"/>
      <c r="H134" s="136"/>
      <c r="I134" s="296" t="s">
        <v>35</v>
      </c>
    </row>
    <row r="135" customFormat="false" ht="15.75" hidden="false" customHeight="false" outlineLevel="0" collapsed="false">
      <c r="A135" s="14" t="s">
        <v>8</v>
      </c>
      <c r="B135" s="15" t="s">
        <v>137</v>
      </c>
      <c r="C135" s="15"/>
      <c r="D135" s="15"/>
      <c r="E135" s="15"/>
      <c r="F135" s="15"/>
      <c r="G135" s="15"/>
      <c r="H135" s="15"/>
      <c r="I135" s="297" t="n">
        <f aca="false">I43</f>
        <v>3365.332</v>
      </c>
    </row>
    <row r="136" customFormat="false" ht="15.75" hidden="false" customHeight="false" outlineLevel="0" collapsed="false">
      <c r="A136" s="14" t="s">
        <v>10</v>
      </c>
      <c r="B136" s="15" t="s">
        <v>138</v>
      </c>
      <c r="C136" s="15"/>
      <c r="D136" s="15"/>
      <c r="E136" s="15"/>
      <c r="F136" s="15"/>
      <c r="G136" s="15"/>
      <c r="H136" s="15"/>
      <c r="I136" s="297" t="n">
        <f aca="false">I52</f>
        <v>830.15</v>
      </c>
    </row>
    <row r="137" customFormat="false" ht="15.75" hidden="false" customHeight="false" outlineLevel="0" collapsed="false">
      <c r="A137" s="14" t="s">
        <v>12</v>
      </c>
      <c r="B137" s="15" t="s">
        <v>139</v>
      </c>
      <c r="C137" s="15"/>
      <c r="D137" s="15"/>
      <c r="E137" s="15"/>
      <c r="F137" s="15"/>
      <c r="G137" s="15"/>
      <c r="H137" s="15"/>
      <c r="I137" s="298" t="n">
        <f aca="false">I57</f>
        <v>137.67625</v>
      </c>
    </row>
    <row r="138" customFormat="false" ht="15.75" hidden="false" customHeight="false" outlineLevel="0" collapsed="false">
      <c r="A138" s="14" t="s">
        <v>14</v>
      </c>
      <c r="B138" s="15" t="s">
        <v>109</v>
      </c>
      <c r="C138" s="15"/>
      <c r="D138" s="15"/>
      <c r="E138" s="15"/>
      <c r="F138" s="15"/>
      <c r="G138" s="15"/>
      <c r="H138" s="15"/>
      <c r="I138" s="297" t="n">
        <f aca="false">I109</f>
        <v>2268.45</v>
      </c>
    </row>
    <row r="139" customFormat="false" ht="15.75" hidden="false" customHeight="false" outlineLevel="0" collapsed="false">
      <c r="A139" s="324" t="s">
        <v>140</v>
      </c>
      <c r="B139" s="324"/>
      <c r="C139" s="324"/>
      <c r="D139" s="324"/>
      <c r="E139" s="324"/>
      <c r="F139" s="324"/>
      <c r="G139" s="324"/>
      <c r="H139" s="324"/>
      <c r="I139" s="298" t="n">
        <f aca="false">SUM(I135:I138)</f>
        <v>6601.60825</v>
      </c>
    </row>
    <row r="140" customFormat="false" ht="15.75" hidden="false" customHeight="false" outlineLevel="0" collapsed="false">
      <c r="A140" s="14" t="s">
        <v>40</v>
      </c>
      <c r="B140" s="15" t="s">
        <v>141</v>
      </c>
      <c r="C140" s="15"/>
      <c r="D140" s="15"/>
      <c r="E140" s="15"/>
      <c r="F140" s="15"/>
      <c r="G140" s="15"/>
      <c r="H140" s="15"/>
      <c r="I140" s="297" t="n">
        <f aca="false">I125</f>
        <v>1972.15</v>
      </c>
    </row>
    <row r="141" customFormat="false" ht="15.75" hidden="false" customHeight="false" outlineLevel="0" collapsed="false">
      <c r="A141" s="325" t="s">
        <v>142</v>
      </c>
      <c r="B141" s="325"/>
      <c r="C141" s="325"/>
      <c r="D141" s="325"/>
      <c r="E141" s="325"/>
      <c r="F141" s="325"/>
      <c r="G141" s="325"/>
      <c r="H141" s="325"/>
      <c r="I141" s="326" t="n">
        <f aca="false">SUM(I139+I140)</f>
        <v>8573.75825</v>
      </c>
    </row>
    <row r="142" customFormat="false" ht="15.75" hidden="false" customHeight="false" outlineLevel="0" collapsed="false">
      <c r="A142" s="295"/>
      <c r="B142" s="295"/>
      <c r="C142" s="295"/>
      <c r="D142" s="295"/>
      <c r="E142" s="295"/>
      <c r="F142" s="295"/>
      <c r="G142" s="295"/>
      <c r="H142" s="295"/>
      <c r="I142" s="295"/>
    </row>
    <row r="143" customFormat="false" ht="15.75" hidden="false" customHeight="false" outlineLevel="0" collapsed="false">
      <c r="A143" s="33" t="s">
        <v>143</v>
      </c>
      <c r="B143" s="33"/>
      <c r="C143" s="33"/>
      <c r="D143" s="33"/>
      <c r="E143" s="33"/>
      <c r="F143" s="33"/>
      <c r="G143" s="33"/>
      <c r="H143" s="33"/>
      <c r="I143" s="33"/>
    </row>
    <row r="144" customFormat="false" ht="15.75" hidden="false" customHeight="false" outlineLevel="0" collapsed="false">
      <c r="A144" s="146" t="s">
        <v>144</v>
      </c>
      <c r="B144" s="146"/>
      <c r="C144" s="146"/>
      <c r="D144" s="146"/>
      <c r="E144" s="146"/>
      <c r="F144" s="146"/>
      <c r="G144" s="146"/>
      <c r="H144" s="146"/>
      <c r="I144" s="146"/>
    </row>
    <row r="145" customFormat="false" ht="63" hidden="false" customHeight="true" outlineLevel="0" collapsed="false">
      <c r="A145" s="64" t="s">
        <v>145</v>
      </c>
      <c r="B145" s="64"/>
      <c r="C145" s="245" t="s">
        <v>146</v>
      </c>
      <c r="D145" s="245"/>
      <c r="E145" s="246" t="s">
        <v>147</v>
      </c>
      <c r="F145" s="245" t="s">
        <v>148</v>
      </c>
      <c r="G145" s="245"/>
      <c r="H145" s="245" t="s">
        <v>149</v>
      </c>
      <c r="I145" s="302" t="s">
        <v>150</v>
      </c>
    </row>
    <row r="146" customFormat="false" ht="21.75" hidden="false" customHeight="true" outlineLevel="0" collapsed="false">
      <c r="A146" s="248" t="s">
        <v>26</v>
      </c>
      <c r="B146" s="248"/>
      <c r="C146" s="249" t="n">
        <f aca="false">I141</f>
        <v>8573.75825</v>
      </c>
      <c r="D146" s="249"/>
      <c r="E146" s="250" t="n">
        <v>2</v>
      </c>
      <c r="F146" s="251" t="n">
        <f aca="false">C146</f>
        <v>8573.75825</v>
      </c>
      <c r="G146" s="251"/>
      <c r="H146" s="252" t="n">
        <v>1</v>
      </c>
      <c r="I146" s="303" t="n">
        <f aca="false">F146*H146</f>
        <v>8573.75825</v>
      </c>
    </row>
    <row r="147" customFormat="false" ht="15.75" hidden="false" customHeight="false" outlineLevel="0" collapsed="false">
      <c r="A147" s="295"/>
      <c r="B147" s="295"/>
      <c r="C147" s="295"/>
      <c r="D147" s="295"/>
      <c r="E147" s="295"/>
      <c r="F147" s="295"/>
      <c r="G147" s="295"/>
      <c r="H147" s="295"/>
      <c r="I147" s="295"/>
    </row>
    <row r="148" customFormat="false" ht="15.75" hidden="false" customHeight="false" outlineLevel="0" collapsed="false">
      <c r="A148" s="33" t="s">
        <v>151</v>
      </c>
      <c r="B148" s="33"/>
      <c r="C148" s="33"/>
      <c r="D148" s="33"/>
      <c r="E148" s="33"/>
      <c r="F148" s="33"/>
      <c r="G148" s="33"/>
      <c r="H148" s="33"/>
      <c r="I148" s="33"/>
    </row>
    <row r="149" customFormat="false" ht="15.75" hidden="false" customHeight="false" outlineLevel="0" collapsed="false">
      <c r="A149" s="146" t="s">
        <v>152</v>
      </c>
      <c r="B149" s="146"/>
      <c r="C149" s="146"/>
      <c r="D149" s="146"/>
      <c r="E149" s="146"/>
      <c r="F149" s="146"/>
      <c r="G149" s="146"/>
      <c r="H149" s="146"/>
      <c r="I149" s="146"/>
    </row>
    <row r="150" customFormat="false" ht="15.75" hidden="false" customHeight="false" outlineLevel="0" collapsed="false">
      <c r="A150" s="157" t="s">
        <v>153</v>
      </c>
      <c r="B150" s="157"/>
      <c r="C150" s="157"/>
      <c r="D150" s="157"/>
      <c r="E150" s="157"/>
      <c r="F150" s="157"/>
      <c r="G150" s="157"/>
      <c r="H150" s="157"/>
      <c r="I150" s="157"/>
    </row>
    <row r="151" customFormat="false" ht="15.75" hidden="false" customHeight="false" outlineLevel="0" collapsed="false">
      <c r="A151" s="158" t="s">
        <v>8</v>
      </c>
      <c r="B151" s="15" t="s">
        <v>154</v>
      </c>
      <c r="C151" s="15"/>
      <c r="D151" s="15"/>
      <c r="E151" s="15"/>
      <c r="F151" s="15"/>
      <c r="G151" s="15"/>
      <c r="H151" s="15"/>
      <c r="I151" s="304" t="n">
        <f aca="false">F146</f>
        <v>8573.75825</v>
      </c>
    </row>
    <row r="152" customFormat="false" ht="15.75" hidden="false" customHeight="false" outlineLevel="0" collapsed="false">
      <c r="A152" s="158" t="s">
        <v>10</v>
      </c>
      <c r="B152" s="15" t="s">
        <v>155</v>
      </c>
      <c r="C152" s="15"/>
      <c r="D152" s="15"/>
      <c r="E152" s="15"/>
      <c r="F152" s="15"/>
      <c r="G152" s="15"/>
      <c r="H152" s="15"/>
      <c r="I152" s="305" t="n">
        <f aca="false">I146</f>
        <v>8573.75825</v>
      </c>
    </row>
    <row r="153" customFormat="false" ht="16.5" hidden="false" customHeight="true" outlineLevel="0" collapsed="false">
      <c r="A153" s="161" t="s">
        <v>12</v>
      </c>
      <c r="B153" s="162" t="s">
        <v>156</v>
      </c>
      <c r="C153" s="162"/>
      <c r="D153" s="162"/>
      <c r="E153" s="162"/>
      <c r="F153" s="162"/>
      <c r="G153" s="162"/>
      <c r="H153" s="162"/>
      <c r="I153" s="306" t="n">
        <f aca="false">I152*12</f>
        <v>102885.099</v>
      </c>
    </row>
  </sheetData>
  <mergeCells count="158">
    <mergeCell ref="A8:I8"/>
    <mergeCell ref="A9:I9"/>
    <mergeCell ref="A10:I10"/>
    <mergeCell ref="A11:I11"/>
    <mergeCell ref="A12:I12"/>
    <mergeCell ref="A13:I13"/>
    <mergeCell ref="A14:I14"/>
    <mergeCell ref="B15:H15"/>
    <mergeCell ref="B16:H16"/>
    <mergeCell ref="B17:H17"/>
    <mergeCell ref="B18:H18"/>
    <mergeCell ref="A19:I19"/>
    <mergeCell ref="A20:D20"/>
    <mergeCell ref="E20:F20"/>
    <mergeCell ref="G20:I20"/>
    <mergeCell ref="A21:D21"/>
    <mergeCell ref="E21:F22"/>
    <mergeCell ref="G21:I22"/>
    <mergeCell ref="A22:D22"/>
    <mergeCell ref="B23:I23"/>
    <mergeCell ref="A24:I24"/>
    <mergeCell ref="A25:I25"/>
    <mergeCell ref="A26:I26"/>
    <mergeCell ref="B27:H27"/>
    <mergeCell ref="B28:H28"/>
    <mergeCell ref="B29:H29"/>
    <mergeCell ref="B30:H30"/>
    <mergeCell ref="B31:H31"/>
    <mergeCell ref="B32:H32"/>
    <mergeCell ref="B33:H33"/>
    <mergeCell ref="A34:I34"/>
    <mergeCell ref="A35:I35"/>
    <mergeCell ref="B36:H36"/>
    <mergeCell ref="B37:H37"/>
    <mergeCell ref="B38:H38"/>
    <mergeCell ref="B39:H39"/>
    <mergeCell ref="B40:H40"/>
    <mergeCell ref="B41:H41"/>
    <mergeCell ref="B42:H42"/>
    <mergeCell ref="A43:H43"/>
    <mergeCell ref="A44:I44"/>
    <mergeCell ref="B45:H45"/>
    <mergeCell ref="A46:A48"/>
    <mergeCell ref="B46:H46"/>
    <mergeCell ref="B47:G47"/>
    <mergeCell ref="B48:G48"/>
    <mergeCell ref="A49:A50"/>
    <mergeCell ref="B49:H49"/>
    <mergeCell ref="B50:G50"/>
    <mergeCell ref="B51:H51"/>
    <mergeCell ref="A52:H52"/>
    <mergeCell ref="A53:I53"/>
    <mergeCell ref="A54:I54"/>
    <mergeCell ref="B55:H55"/>
    <mergeCell ref="B56:H56"/>
    <mergeCell ref="A57:H57"/>
    <mergeCell ref="A58:I58"/>
    <mergeCell ref="A59:I59"/>
    <mergeCell ref="B60:G60"/>
    <mergeCell ref="B61:G61"/>
    <mergeCell ref="B62:G62"/>
    <mergeCell ref="B63:G63"/>
    <mergeCell ref="B64:G64"/>
    <mergeCell ref="B65:G65"/>
    <mergeCell ref="B66:G66"/>
    <mergeCell ref="B67:E67"/>
    <mergeCell ref="B68:G68"/>
    <mergeCell ref="A69:G69"/>
    <mergeCell ref="A70:I70"/>
    <mergeCell ref="A71:I71"/>
    <mergeCell ref="A72:I72"/>
    <mergeCell ref="B73:H73"/>
    <mergeCell ref="B74:H74"/>
    <mergeCell ref="A75:H75"/>
    <mergeCell ref="B76:H76"/>
    <mergeCell ref="A77:H77"/>
    <mergeCell ref="A78:I78"/>
    <mergeCell ref="B79:H79"/>
    <mergeCell ref="B80:H80"/>
    <mergeCell ref="B81:H81"/>
    <mergeCell ref="A82:H82"/>
    <mergeCell ref="A83:I83"/>
    <mergeCell ref="B84:H84"/>
    <mergeCell ref="B85:H85"/>
    <mergeCell ref="B86:H86"/>
    <mergeCell ref="B87:H87"/>
    <mergeCell ref="B88:H88"/>
    <mergeCell ref="B89:H89"/>
    <mergeCell ref="B90:H90"/>
    <mergeCell ref="A91:H91"/>
    <mergeCell ref="A92:I92"/>
    <mergeCell ref="B93:H93"/>
    <mergeCell ref="B94:H94"/>
    <mergeCell ref="B95:H95"/>
    <mergeCell ref="B96:H96"/>
    <mergeCell ref="B97:H97"/>
    <mergeCell ref="B98:H98"/>
    <mergeCell ref="A99:H99"/>
    <mergeCell ref="B100:H100"/>
    <mergeCell ref="A101:H101"/>
    <mergeCell ref="A102:I102"/>
    <mergeCell ref="B103:H103"/>
    <mergeCell ref="B104:H104"/>
    <mergeCell ref="B105:H105"/>
    <mergeCell ref="B106:H106"/>
    <mergeCell ref="B107:H107"/>
    <mergeCell ref="B108:H108"/>
    <mergeCell ref="A109:H109"/>
    <mergeCell ref="A110:I110"/>
    <mergeCell ref="B111:G111"/>
    <mergeCell ref="A112:G112"/>
    <mergeCell ref="B113:G113"/>
    <mergeCell ref="A114:G114"/>
    <mergeCell ref="B115:G115"/>
    <mergeCell ref="A116:G116"/>
    <mergeCell ref="A117:A124"/>
    <mergeCell ref="B117:G117"/>
    <mergeCell ref="B118:G118"/>
    <mergeCell ref="B119:G119"/>
    <mergeCell ref="B120:G120"/>
    <mergeCell ref="B121:G121"/>
    <mergeCell ref="B122:G122"/>
    <mergeCell ref="B123:G123"/>
    <mergeCell ref="B124:G124"/>
    <mergeCell ref="A125:H125"/>
    <mergeCell ref="A126:G126"/>
    <mergeCell ref="A127:B128"/>
    <mergeCell ref="C127:I127"/>
    <mergeCell ref="C128:I128"/>
    <mergeCell ref="A129:I129"/>
    <mergeCell ref="A130:I130"/>
    <mergeCell ref="A131:I131"/>
    <mergeCell ref="A132:I132"/>
    <mergeCell ref="A133:I133"/>
    <mergeCell ref="A134:H134"/>
    <mergeCell ref="B135:H135"/>
    <mergeCell ref="B136:H136"/>
    <mergeCell ref="B137:H137"/>
    <mergeCell ref="B138:H138"/>
    <mergeCell ref="A139:H139"/>
    <mergeCell ref="B140:H140"/>
    <mergeCell ref="A141:H141"/>
    <mergeCell ref="A142:I142"/>
    <mergeCell ref="A143:I143"/>
    <mergeCell ref="A144:I144"/>
    <mergeCell ref="A145:B145"/>
    <mergeCell ref="C145:D145"/>
    <mergeCell ref="F145:G145"/>
    <mergeCell ref="A146:B146"/>
    <mergeCell ref="C146:D146"/>
    <mergeCell ref="F146:G146"/>
    <mergeCell ref="A147:I147"/>
    <mergeCell ref="A148:I148"/>
    <mergeCell ref="A149:I149"/>
    <mergeCell ref="A150:I150"/>
    <mergeCell ref="B151:H151"/>
    <mergeCell ref="B152:H152"/>
    <mergeCell ref="B153:H153"/>
  </mergeCells>
  <printOptions headings="false" gridLines="false" gridLinesSet="true" horizontalCentered="false" verticalCentered="false"/>
  <pageMargins left="0.698611111111111" right="0.698611111111111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7" man="true" max="16383" min="0"/>
    <brk id="109" man="true" max="16383" min="0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N152"/>
  <sheetViews>
    <sheetView showFormulas="false" showGridLines="true" showRowColHeaders="true" showZeros="true" rightToLeft="false" tabSelected="false" showOutlineSymbols="true" defaultGridColor="true" view="pageBreakPreview" topLeftCell="A26" colorId="64" zoomScale="76" zoomScaleNormal="100" zoomScalePageLayoutView="76" workbookViewId="0">
      <selection pane="topLeft" activeCell="I85" activeCellId="0" sqref="I85"/>
    </sheetView>
  </sheetViews>
  <sheetFormatPr defaultRowHeight="15" zeroHeight="false" outlineLevelRow="0" outlineLevelCol="0"/>
  <cols>
    <col collapsed="false" customWidth="true" hidden="false" outlineLevel="0" max="1" min="1" style="1" width="14.28"/>
    <col collapsed="false" customWidth="true" hidden="false" outlineLevel="0" max="2" min="2" style="1" width="17.4"/>
    <col collapsed="false" customWidth="true" hidden="false" outlineLevel="0" max="3" min="3" style="1" width="15.71"/>
    <col collapsed="false" customWidth="true" hidden="false" outlineLevel="0" max="4" min="4" style="1" width="14.15"/>
    <col collapsed="false" customWidth="true" hidden="false" outlineLevel="0" max="5" min="5" style="1" width="16.57"/>
    <col collapsed="false" customWidth="true" hidden="false" outlineLevel="0" max="6" min="6" style="1" width="16.71"/>
    <col collapsed="false" customWidth="true" hidden="false" outlineLevel="0" max="7" min="7" style="1" width="17.13"/>
    <col collapsed="false" customWidth="true" hidden="false" outlineLevel="0" max="8" min="8" style="1" width="24.41"/>
    <col collapsed="false" customWidth="true" hidden="false" outlineLevel="0" max="9" min="9" style="1" width="46.14"/>
    <col collapsed="false" customWidth="true" hidden="true" outlineLevel="0" max="11" min="10" style="1" width="9"/>
    <col collapsed="false" customWidth="true" hidden="false" outlineLevel="0" max="12" min="12" style="1" width="58.57"/>
    <col collapsed="false" customWidth="true" hidden="false" outlineLevel="0" max="1025" min="13" style="1" width="28.57"/>
  </cols>
  <sheetData>
    <row r="1" s="101" customFormat="true" ht="15.75" hidden="false" customHeight="false" outlineLevel="0" collapsed="false">
      <c r="A1" s="173" t="s">
        <v>178</v>
      </c>
      <c r="I1" s="209"/>
    </row>
    <row r="2" s="101" customFormat="true" ht="15.75" hidden="false" customHeight="false" outlineLevel="0" collapsed="false">
      <c r="A2" s="173" t="s">
        <v>179</v>
      </c>
      <c r="I2" s="209"/>
    </row>
    <row r="3" s="101" customFormat="true" ht="15.75" hidden="false" customHeight="false" outlineLevel="0" collapsed="false">
      <c r="A3" s="173" t="s">
        <v>180</v>
      </c>
      <c r="I3" s="209"/>
    </row>
    <row r="4" s="101" customFormat="true" ht="15.75" hidden="false" customHeight="false" outlineLevel="0" collapsed="false">
      <c r="A4" s="173" t="s">
        <v>181</v>
      </c>
      <c r="I4" s="209"/>
    </row>
    <row r="5" s="101" customFormat="true" ht="15.75" hidden="false" customHeight="false" outlineLevel="0" collapsed="false">
      <c r="A5" s="173" t="s">
        <v>182</v>
      </c>
      <c r="I5" s="209"/>
    </row>
    <row r="6" s="101" customFormat="true" ht="15.75" hidden="false" customHeight="false" outlineLevel="0" collapsed="false">
      <c r="A6" s="173" t="s">
        <v>183</v>
      </c>
      <c r="I6" s="209"/>
    </row>
    <row r="7" customFormat="false" ht="15.75" hidden="false" customHeight="false" outlineLevel="0" collapsed="false">
      <c r="A7" s="174" t="s">
        <v>184</v>
      </c>
      <c r="I7" s="171"/>
    </row>
    <row r="8" customFormat="false" ht="15.75" hidden="false" customHeight="false" outlineLevel="0" collapsed="false">
      <c r="A8" s="263" t="s">
        <v>1</v>
      </c>
      <c r="B8" s="263"/>
      <c r="C8" s="263"/>
      <c r="D8" s="263"/>
      <c r="E8" s="263"/>
      <c r="F8" s="263"/>
      <c r="G8" s="263"/>
      <c r="H8" s="263"/>
      <c r="I8" s="263"/>
    </row>
    <row r="9" customFormat="false" ht="15.75" hidden="false" customHeight="false" outlineLevel="0" collapsed="false">
      <c r="A9" s="4" t="s">
        <v>2</v>
      </c>
      <c r="B9" s="4"/>
      <c r="C9" s="4"/>
      <c r="D9" s="4"/>
      <c r="E9" s="4"/>
      <c r="F9" s="4"/>
      <c r="G9" s="4"/>
      <c r="H9" s="4"/>
      <c r="I9" s="4"/>
    </row>
    <row r="10" customFormat="false" ht="15.75" hidden="false" customHeight="false" outlineLevel="0" collapsed="false">
      <c r="A10" s="5" t="s">
        <v>3</v>
      </c>
      <c r="B10" s="5"/>
      <c r="C10" s="5"/>
      <c r="D10" s="5"/>
      <c r="E10" s="5"/>
      <c r="F10" s="5"/>
      <c r="G10" s="5"/>
      <c r="H10" s="5"/>
      <c r="I10" s="5"/>
    </row>
    <row r="11" customFormat="false" ht="15.75" hidden="false" customHeight="false" outlineLevel="0" collapsed="false">
      <c r="A11" s="6" t="s">
        <v>4</v>
      </c>
      <c r="B11" s="6"/>
      <c r="C11" s="6"/>
      <c r="D11" s="6"/>
      <c r="E11" s="6"/>
      <c r="F11" s="6"/>
      <c r="G11" s="6"/>
      <c r="H11" s="6"/>
      <c r="I11" s="6"/>
    </row>
    <row r="12" customFormat="false" ht="15.75" hidden="false" customHeight="false" outlineLevel="0" collapsed="false">
      <c r="A12" s="7" t="s">
        <v>5</v>
      </c>
      <c r="B12" s="7"/>
      <c r="C12" s="7"/>
      <c r="D12" s="7"/>
      <c r="E12" s="7"/>
      <c r="F12" s="7"/>
      <c r="G12" s="7"/>
      <c r="H12" s="7"/>
      <c r="I12" s="7"/>
    </row>
    <row r="13" customFormat="false" ht="15.75" hidden="false" customHeight="false" outlineLevel="0" collapsed="false">
      <c r="A13" s="8" t="s">
        <v>6</v>
      </c>
      <c r="B13" s="8"/>
      <c r="C13" s="8"/>
      <c r="D13" s="8"/>
      <c r="E13" s="8"/>
      <c r="F13" s="8"/>
      <c r="G13" s="8"/>
      <c r="H13" s="8"/>
      <c r="I13" s="8"/>
    </row>
    <row r="14" customFormat="false" ht="15.75" hidden="false" customHeight="false" outlineLevel="0" collapsed="false">
      <c r="A14" s="179" t="s">
        <v>7</v>
      </c>
      <c r="B14" s="179"/>
      <c r="C14" s="179"/>
      <c r="D14" s="179"/>
      <c r="E14" s="179"/>
      <c r="F14" s="179"/>
      <c r="G14" s="179"/>
      <c r="H14" s="179"/>
      <c r="I14" s="179"/>
    </row>
    <row r="15" customFormat="false" ht="15.75" hidden="false" customHeight="false" outlineLevel="0" collapsed="false">
      <c r="A15" s="10" t="s">
        <v>8</v>
      </c>
      <c r="B15" s="11" t="s">
        <v>9</v>
      </c>
      <c r="C15" s="11"/>
      <c r="D15" s="11"/>
      <c r="E15" s="11"/>
      <c r="F15" s="11"/>
      <c r="G15" s="11"/>
      <c r="H15" s="11"/>
      <c r="I15" s="307"/>
      <c r="L15" s="13"/>
    </row>
    <row r="16" customFormat="false" ht="15.75" hidden="false" customHeight="false" outlineLevel="0" collapsed="false">
      <c r="A16" s="14" t="s">
        <v>10</v>
      </c>
      <c r="B16" s="15" t="s">
        <v>11</v>
      </c>
      <c r="C16" s="15"/>
      <c r="D16" s="15"/>
      <c r="E16" s="15"/>
      <c r="F16" s="15"/>
      <c r="G16" s="15"/>
      <c r="H16" s="15"/>
      <c r="I16" s="308" t="s">
        <v>223</v>
      </c>
      <c r="L16" s="13"/>
    </row>
    <row r="17" customFormat="false" ht="47.25" hidden="false" customHeight="true" outlineLevel="0" collapsed="false">
      <c r="A17" s="17" t="s">
        <v>12</v>
      </c>
      <c r="B17" s="18" t="s">
        <v>13</v>
      </c>
      <c r="C17" s="18"/>
      <c r="D17" s="18"/>
      <c r="E17" s="18"/>
      <c r="F17" s="18"/>
      <c r="G17" s="18"/>
      <c r="H17" s="18"/>
      <c r="I17" s="37" t="s">
        <v>186</v>
      </c>
      <c r="L17" s="13"/>
    </row>
    <row r="18" customFormat="false" ht="15.75" hidden="false" customHeight="false" outlineLevel="0" collapsed="false">
      <c r="A18" s="20" t="s">
        <v>14</v>
      </c>
      <c r="B18" s="21" t="s">
        <v>15</v>
      </c>
      <c r="C18" s="21"/>
      <c r="D18" s="21"/>
      <c r="E18" s="21"/>
      <c r="F18" s="21"/>
      <c r="G18" s="21"/>
      <c r="H18" s="21"/>
      <c r="I18" s="309" t="n">
        <v>12</v>
      </c>
    </row>
    <row r="19" customFormat="false" ht="15.75" hidden="false" customHeight="false" outlineLevel="0" collapsed="false">
      <c r="A19" s="179" t="s">
        <v>16</v>
      </c>
      <c r="B19" s="179"/>
      <c r="C19" s="179"/>
      <c r="D19" s="179"/>
      <c r="E19" s="179"/>
      <c r="F19" s="179"/>
      <c r="G19" s="179"/>
      <c r="H19" s="179"/>
      <c r="I19" s="179"/>
    </row>
    <row r="20" customFormat="false" ht="15.75" hidden="false" customHeight="false" outlineLevel="0" collapsed="false">
      <c r="A20" s="23" t="s">
        <v>17</v>
      </c>
      <c r="B20" s="23"/>
      <c r="C20" s="23"/>
      <c r="D20" s="23"/>
      <c r="E20" s="24" t="s">
        <v>18</v>
      </c>
      <c r="F20" s="24"/>
      <c r="G20" s="25" t="s">
        <v>19</v>
      </c>
      <c r="H20" s="25"/>
      <c r="I20" s="25"/>
    </row>
    <row r="21" customFormat="false" ht="15.75" hidden="false" customHeight="true" outlineLevel="0" collapsed="false">
      <c r="A21" s="26" t="s">
        <v>20</v>
      </c>
      <c r="B21" s="26"/>
      <c r="C21" s="26"/>
      <c r="D21" s="26"/>
      <c r="E21" s="27" t="s">
        <v>21</v>
      </c>
      <c r="F21" s="27"/>
      <c r="G21" s="28" t="n">
        <v>1</v>
      </c>
      <c r="H21" s="28"/>
      <c r="I21" s="28"/>
    </row>
    <row r="22" customFormat="false" ht="20.25" hidden="false" customHeight="true" outlineLevel="0" collapsed="false">
      <c r="A22" s="327" t="s">
        <v>224</v>
      </c>
      <c r="B22" s="327"/>
      <c r="C22" s="327"/>
      <c r="D22" s="327"/>
      <c r="E22" s="27"/>
      <c r="F22" s="27"/>
      <c r="G22" s="28"/>
      <c r="H22" s="28"/>
      <c r="I22" s="28"/>
      <c r="L22" s="30"/>
    </row>
    <row r="23" customFormat="false" ht="15.75" hidden="false" customHeight="false" outlineLevel="0" collapsed="false">
      <c r="A23" s="31"/>
      <c r="B23" s="269"/>
      <c r="C23" s="269"/>
      <c r="D23" s="269"/>
      <c r="E23" s="269"/>
      <c r="F23" s="269"/>
      <c r="G23" s="269"/>
      <c r="H23" s="269"/>
      <c r="I23" s="269"/>
    </row>
    <row r="24" customFormat="false" ht="15.75" hidden="false" customHeight="false" outlineLevel="0" collapsed="false">
      <c r="A24" s="33" t="s">
        <v>22</v>
      </c>
      <c r="B24" s="33"/>
      <c r="C24" s="33"/>
      <c r="D24" s="33"/>
      <c r="E24" s="33"/>
      <c r="F24" s="33"/>
      <c r="G24" s="33"/>
      <c r="H24" s="33"/>
      <c r="I24" s="33"/>
    </row>
    <row r="25" customFormat="false" ht="15.75" hidden="false" customHeight="false" outlineLevel="0" collapsed="false">
      <c r="A25" s="34" t="s">
        <v>23</v>
      </c>
      <c r="B25" s="34"/>
      <c r="C25" s="34"/>
      <c r="D25" s="34"/>
      <c r="E25" s="34"/>
      <c r="F25" s="34"/>
      <c r="G25" s="34"/>
      <c r="H25" s="34"/>
      <c r="I25" s="34"/>
    </row>
    <row r="26" customFormat="false" ht="15.75" hidden="false" customHeight="false" outlineLevel="0" collapsed="false">
      <c r="A26" s="35" t="s">
        <v>24</v>
      </c>
      <c r="B26" s="35"/>
      <c r="C26" s="35"/>
      <c r="D26" s="35"/>
      <c r="E26" s="35"/>
      <c r="F26" s="35"/>
      <c r="G26" s="35"/>
      <c r="H26" s="35"/>
      <c r="I26" s="35"/>
    </row>
    <row r="27" customFormat="false" ht="15.75" hidden="false" customHeight="true" outlineLevel="0" collapsed="false">
      <c r="A27" s="14" t="n">
        <v>1</v>
      </c>
      <c r="B27" s="36" t="s">
        <v>25</v>
      </c>
      <c r="C27" s="36"/>
      <c r="D27" s="36"/>
      <c r="E27" s="36"/>
      <c r="F27" s="36"/>
      <c r="G27" s="36"/>
      <c r="H27" s="36"/>
      <c r="I27" s="37" t="s">
        <v>26</v>
      </c>
    </row>
    <row r="28" customFormat="false" ht="15.75" hidden="false" customHeight="true" outlineLevel="0" collapsed="false">
      <c r="A28" s="14" t="n">
        <v>2</v>
      </c>
      <c r="B28" s="38" t="s">
        <v>27</v>
      </c>
      <c r="C28" s="38"/>
      <c r="D28" s="38"/>
      <c r="E28" s="38"/>
      <c r="F28" s="38"/>
      <c r="G28" s="38"/>
      <c r="H28" s="38"/>
      <c r="I28" s="308" t="n">
        <f aca="false">Dados!B2</f>
        <v>1305.17</v>
      </c>
    </row>
    <row r="29" customFormat="false" ht="15.75" hidden="false" customHeight="true" outlineLevel="0" collapsed="false">
      <c r="A29" s="14" t="n">
        <v>3</v>
      </c>
      <c r="B29" s="38" t="s">
        <v>28</v>
      </c>
      <c r="C29" s="38"/>
      <c r="D29" s="38"/>
      <c r="E29" s="38"/>
      <c r="F29" s="38"/>
      <c r="G29" s="38"/>
      <c r="H29" s="38"/>
      <c r="I29" s="308" t="s">
        <v>188</v>
      </c>
    </row>
    <row r="30" customFormat="false" ht="15.75" hidden="false" customHeight="true" outlineLevel="0" collapsed="false">
      <c r="A30" s="40" t="n">
        <v>4</v>
      </c>
      <c r="B30" s="41" t="s">
        <v>29</v>
      </c>
      <c r="C30" s="41"/>
      <c r="D30" s="41"/>
      <c r="E30" s="41"/>
      <c r="F30" s="41"/>
      <c r="G30" s="41"/>
      <c r="H30" s="41"/>
      <c r="I30" s="311" t="n">
        <v>42005</v>
      </c>
    </row>
    <row r="31" customFormat="false" ht="15.75" hidden="false" customHeight="true" outlineLevel="0" collapsed="false">
      <c r="A31" s="40" t="n">
        <v>5</v>
      </c>
      <c r="B31" s="38" t="s">
        <v>30</v>
      </c>
      <c r="C31" s="38"/>
      <c r="D31" s="38"/>
      <c r="E31" s="38"/>
      <c r="F31" s="38"/>
      <c r="G31" s="38"/>
      <c r="H31" s="38"/>
      <c r="I31" s="311" t="n">
        <f aca="false">I28/220</f>
        <v>5.93259090909091</v>
      </c>
    </row>
    <row r="32" customFormat="false" ht="15.75" hidden="false" customHeight="true" outlineLevel="0" collapsed="false">
      <c r="A32" s="40" t="n">
        <v>6</v>
      </c>
      <c r="B32" s="38" t="s">
        <v>31</v>
      </c>
      <c r="C32" s="38"/>
      <c r="D32" s="38"/>
      <c r="E32" s="38"/>
      <c r="F32" s="38"/>
      <c r="G32" s="38"/>
      <c r="H32" s="38"/>
      <c r="I32" s="311" t="n">
        <f aca="false">I31*1.5</f>
        <v>8.89888636363636</v>
      </c>
    </row>
    <row r="33" customFormat="false" ht="16.5" hidden="false" customHeight="true" outlineLevel="0" collapsed="false">
      <c r="A33" s="20" t="n">
        <v>7</v>
      </c>
      <c r="B33" s="44" t="s">
        <v>32</v>
      </c>
      <c r="C33" s="44"/>
      <c r="D33" s="44"/>
      <c r="E33" s="44"/>
      <c r="F33" s="44"/>
      <c r="G33" s="44"/>
      <c r="H33" s="44"/>
      <c r="I33" s="309" t="n">
        <f aca="false">I31*0.2</f>
        <v>1.18651818181818</v>
      </c>
    </row>
    <row r="34" customFormat="false" ht="15.75" hidden="false" customHeight="false" outlineLevel="0" collapsed="false">
      <c r="A34" s="271"/>
      <c r="B34" s="271"/>
      <c r="C34" s="271"/>
      <c r="D34" s="271"/>
      <c r="E34" s="271"/>
      <c r="F34" s="271"/>
      <c r="G34" s="271"/>
      <c r="H34" s="271"/>
      <c r="I34" s="271"/>
    </row>
    <row r="35" customFormat="false" ht="15.75" hidden="false" customHeight="false" outlineLevel="0" collapsed="false">
      <c r="A35" s="47" t="s">
        <v>33</v>
      </c>
      <c r="B35" s="47"/>
      <c r="C35" s="47"/>
      <c r="D35" s="47"/>
      <c r="E35" s="47"/>
      <c r="F35" s="47"/>
      <c r="G35" s="47"/>
      <c r="H35" s="47"/>
      <c r="I35" s="47"/>
    </row>
    <row r="36" customFormat="false" ht="15.75" hidden="false" customHeight="false" outlineLevel="0" collapsed="false">
      <c r="A36" s="48" t="n">
        <v>1</v>
      </c>
      <c r="B36" s="49" t="s">
        <v>34</v>
      </c>
      <c r="C36" s="49"/>
      <c r="D36" s="49"/>
      <c r="E36" s="49"/>
      <c r="F36" s="49"/>
      <c r="G36" s="49"/>
      <c r="H36" s="49"/>
      <c r="I36" s="204" t="s">
        <v>35</v>
      </c>
      <c r="L36" s="51"/>
    </row>
    <row r="37" customFormat="false" ht="15.75" hidden="false" customHeight="false" outlineLevel="0" collapsed="false">
      <c r="A37" s="17" t="s">
        <v>8</v>
      </c>
      <c r="B37" s="52" t="s">
        <v>36</v>
      </c>
      <c r="C37" s="52"/>
      <c r="D37" s="52"/>
      <c r="E37" s="52"/>
      <c r="F37" s="52"/>
      <c r="G37" s="52"/>
      <c r="H37" s="52"/>
      <c r="I37" s="207" t="n">
        <f aca="false">ROUND((I31*200)*2,2)</f>
        <v>2373.04</v>
      </c>
      <c r="L37" s="51"/>
    </row>
    <row r="38" customFormat="false" ht="15.75" hidden="false" customHeight="false" outlineLevel="0" collapsed="false">
      <c r="A38" s="17" t="s">
        <v>10</v>
      </c>
      <c r="B38" s="74" t="s">
        <v>225</v>
      </c>
      <c r="C38" s="74"/>
      <c r="D38" s="74"/>
      <c r="E38" s="74"/>
      <c r="F38" s="74"/>
      <c r="G38" s="74"/>
      <c r="H38" s="74"/>
      <c r="I38" s="207" t="n">
        <f aca="false">ROUND(I32*21*2,2)</f>
        <v>373.75</v>
      </c>
      <c r="L38" s="55"/>
    </row>
    <row r="39" customFormat="false" ht="33" hidden="false" customHeight="true" outlineLevel="0" collapsed="false">
      <c r="A39" s="17" t="s">
        <v>12</v>
      </c>
      <c r="B39" s="54" t="s">
        <v>226</v>
      </c>
      <c r="C39" s="54"/>
      <c r="D39" s="54"/>
      <c r="E39" s="54"/>
      <c r="F39" s="54"/>
      <c r="G39" s="54"/>
      <c r="H39" s="54"/>
      <c r="I39" s="211" t="n">
        <f aca="false">ROUND(I33*1*(60/52.5)*21,2)</f>
        <v>28.48</v>
      </c>
      <c r="L39" s="55"/>
    </row>
    <row r="40" customFormat="false" ht="32.25" hidden="false" customHeight="true" outlineLevel="0" collapsed="false">
      <c r="A40" s="17" t="s">
        <v>14</v>
      </c>
      <c r="B40" s="54" t="s">
        <v>205</v>
      </c>
      <c r="C40" s="54"/>
      <c r="D40" s="54"/>
      <c r="E40" s="54"/>
      <c r="F40" s="54"/>
      <c r="G40" s="54"/>
      <c r="H40" s="54"/>
      <c r="I40" s="211" t="n">
        <f aca="false">ROUND(I32*21*(60/52.5-1),2)</f>
        <v>26.7</v>
      </c>
      <c r="L40" s="55"/>
    </row>
    <row r="41" customFormat="false" ht="18" hidden="false" customHeight="true" outlineLevel="0" collapsed="false">
      <c r="A41" s="274" t="s">
        <v>40</v>
      </c>
      <c r="B41" s="58" t="s">
        <v>43</v>
      </c>
      <c r="C41" s="58"/>
      <c r="D41" s="58"/>
      <c r="E41" s="58"/>
      <c r="F41" s="58"/>
      <c r="G41" s="58"/>
      <c r="H41" s="58"/>
      <c r="I41" s="211" t="n">
        <f aca="false">SUM(I38:I40)*0.2</f>
        <v>85.786</v>
      </c>
      <c r="K41" s="59"/>
    </row>
    <row r="42" customFormat="false" ht="15.75" hidden="false" customHeight="false" outlineLevel="0" collapsed="false">
      <c r="A42" s="60" t="s">
        <v>44</v>
      </c>
      <c r="B42" s="60"/>
      <c r="C42" s="60"/>
      <c r="D42" s="60"/>
      <c r="E42" s="60"/>
      <c r="F42" s="60"/>
      <c r="G42" s="60"/>
      <c r="H42" s="60"/>
      <c r="I42" s="210" t="n">
        <f aca="false">SUM(I37:I41)</f>
        <v>2887.756</v>
      </c>
    </row>
    <row r="43" customFormat="false" ht="15.75" hidden="false" customHeight="false" outlineLevel="0" collapsed="false">
      <c r="A43" s="47" t="s">
        <v>45</v>
      </c>
      <c r="B43" s="47"/>
      <c r="C43" s="47"/>
      <c r="D43" s="47"/>
      <c r="E43" s="47"/>
      <c r="F43" s="47"/>
      <c r="G43" s="47"/>
      <c r="H43" s="47"/>
      <c r="I43" s="47"/>
    </row>
    <row r="44" customFormat="false" ht="15.75" hidden="false" customHeight="false" outlineLevel="0" collapsed="false">
      <c r="A44" s="62" t="n">
        <v>2</v>
      </c>
      <c r="B44" s="63" t="s">
        <v>46</v>
      </c>
      <c r="C44" s="63"/>
      <c r="D44" s="63"/>
      <c r="E44" s="63"/>
      <c r="F44" s="63"/>
      <c r="G44" s="63"/>
      <c r="H44" s="63"/>
      <c r="I44" s="204" t="s">
        <v>35</v>
      </c>
    </row>
    <row r="45" customFormat="false" ht="15.75" hidden="false" customHeight="true" outlineLevel="0" collapsed="false">
      <c r="A45" s="64" t="s">
        <v>8</v>
      </c>
      <c r="B45" s="54" t="s">
        <v>206</v>
      </c>
      <c r="C45" s="54"/>
      <c r="D45" s="54"/>
      <c r="E45" s="54"/>
      <c r="F45" s="54"/>
      <c r="G45" s="54"/>
      <c r="H45" s="54"/>
      <c r="I45" s="207" t="n">
        <f aca="false">ROUND((2*H47*H46*21)-(0.06*I37),2)</f>
        <v>164.22</v>
      </c>
      <c r="L45" s="66"/>
    </row>
    <row r="46" customFormat="false" ht="33" hidden="false" customHeight="true" outlineLevel="0" collapsed="false">
      <c r="A46" s="64"/>
      <c r="B46" s="277" t="s">
        <v>227</v>
      </c>
      <c r="C46" s="277"/>
      <c r="D46" s="277"/>
      <c r="E46" s="277"/>
      <c r="F46" s="277"/>
      <c r="G46" s="277"/>
      <c r="H46" s="278" t="n">
        <f aca="false">Dados!B10</f>
        <v>3.65</v>
      </c>
      <c r="I46" s="312"/>
    </row>
    <row r="47" customFormat="false" ht="15.75" hidden="false" customHeight="false" outlineLevel="0" collapsed="false">
      <c r="A47" s="64"/>
      <c r="B47" s="69" t="s">
        <v>49</v>
      </c>
      <c r="C47" s="69"/>
      <c r="D47" s="69"/>
      <c r="E47" s="69"/>
      <c r="F47" s="69"/>
      <c r="G47" s="69"/>
      <c r="H47" s="70" t="n">
        <v>2</v>
      </c>
      <c r="I47" s="312"/>
    </row>
    <row r="48" customFormat="false" ht="15.75" hidden="false" customHeight="true" outlineLevel="0" collapsed="false">
      <c r="A48" s="64" t="s">
        <v>10</v>
      </c>
      <c r="B48" s="54" t="s">
        <v>50</v>
      </c>
      <c r="C48" s="54"/>
      <c r="D48" s="54"/>
      <c r="E48" s="54"/>
      <c r="F48" s="54"/>
      <c r="G48" s="54"/>
      <c r="H48" s="54"/>
      <c r="I48" s="312" t="n">
        <f aca="false">ROUND((2*21*H49)*(1-0.18),2)</f>
        <v>576.18</v>
      </c>
    </row>
    <row r="49" customFormat="false" ht="15.75" hidden="false" customHeight="false" outlineLevel="0" collapsed="false">
      <c r="A49" s="64"/>
      <c r="B49" s="69" t="s">
        <v>51</v>
      </c>
      <c r="C49" s="69"/>
      <c r="D49" s="69"/>
      <c r="E49" s="69"/>
      <c r="F49" s="69"/>
      <c r="G49" s="69"/>
      <c r="H49" s="280" t="n">
        <f aca="false">Dados!B3</f>
        <v>16.73</v>
      </c>
      <c r="I49" s="223"/>
    </row>
    <row r="50" customFormat="false" ht="15.75" hidden="false" customHeight="true" outlineLevel="0" collapsed="false">
      <c r="A50" s="17" t="s">
        <v>12</v>
      </c>
      <c r="B50" s="58" t="s">
        <v>194</v>
      </c>
      <c r="C50" s="58"/>
      <c r="D50" s="58"/>
      <c r="E50" s="58"/>
      <c r="F50" s="58"/>
      <c r="G50" s="58"/>
      <c r="H50" s="58"/>
      <c r="I50" s="312" t="n">
        <f aca="false">ROUND(Dados!B5*2,2)</f>
        <v>30.04</v>
      </c>
    </row>
    <row r="51" customFormat="false" ht="15.75" hidden="false" customHeight="false" outlineLevel="0" collapsed="false">
      <c r="A51" s="60" t="s">
        <v>53</v>
      </c>
      <c r="B51" s="60"/>
      <c r="C51" s="60"/>
      <c r="D51" s="60"/>
      <c r="E51" s="60"/>
      <c r="F51" s="60"/>
      <c r="G51" s="60"/>
      <c r="H51" s="60"/>
      <c r="I51" s="210" t="n">
        <f aca="false">SUM(I45:I50)</f>
        <v>770.44</v>
      </c>
    </row>
    <row r="52" customFormat="false" ht="15.75" hidden="false" customHeight="false" outlineLevel="0" collapsed="false">
      <c r="A52" s="73" t="s">
        <v>54</v>
      </c>
      <c r="B52" s="73"/>
      <c r="C52" s="73"/>
      <c r="D52" s="73"/>
      <c r="E52" s="73"/>
      <c r="F52" s="73"/>
      <c r="G52" s="73"/>
      <c r="H52" s="73"/>
      <c r="I52" s="73"/>
    </row>
    <row r="53" customFormat="false" ht="15.75" hidden="false" customHeight="false" outlineLevel="0" collapsed="false">
      <c r="A53" s="47" t="s">
        <v>55</v>
      </c>
      <c r="B53" s="47"/>
      <c r="C53" s="47"/>
      <c r="D53" s="47"/>
      <c r="E53" s="47"/>
      <c r="F53" s="47"/>
      <c r="G53" s="47"/>
      <c r="H53" s="47"/>
      <c r="I53" s="47"/>
    </row>
    <row r="54" customFormat="false" ht="15.75" hidden="false" customHeight="false" outlineLevel="0" collapsed="false">
      <c r="A54" s="62" t="n">
        <v>3</v>
      </c>
      <c r="B54" s="63" t="s">
        <v>56</v>
      </c>
      <c r="C54" s="63"/>
      <c r="D54" s="63"/>
      <c r="E54" s="63"/>
      <c r="F54" s="63"/>
      <c r="G54" s="63"/>
      <c r="H54" s="63"/>
      <c r="I54" s="204" t="s">
        <v>35</v>
      </c>
    </row>
    <row r="55" customFormat="false" ht="15.75" hidden="false" customHeight="false" outlineLevel="0" collapsed="false">
      <c r="A55" s="64" t="s">
        <v>8</v>
      </c>
      <c r="B55" s="74" t="s">
        <v>228</v>
      </c>
      <c r="C55" s="74"/>
      <c r="D55" s="74"/>
      <c r="E55" s="74"/>
      <c r="F55" s="74"/>
      <c r="G55" s="74"/>
      <c r="H55" s="74"/>
      <c r="I55" s="75" t="n">
        <f aca="false">Dados!D6*2</f>
        <v>137.67625</v>
      </c>
      <c r="J55" s="76"/>
      <c r="K55" s="77"/>
    </row>
    <row r="56" customFormat="false" ht="15.75" hidden="false" customHeight="false" outlineLevel="0" collapsed="false">
      <c r="A56" s="60" t="s">
        <v>58</v>
      </c>
      <c r="B56" s="60"/>
      <c r="C56" s="60"/>
      <c r="D56" s="60"/>
      <c r="E56" s="60"/>
      <c r="F56" s="60"/>
      <c r="G56" s="60"/>
      <c r="H56" s="60"/>
      <c r="I56" s="78" t="n">
        <f aca="false">SUM(I55:I55)</f>
        <v>137.67625</v>
      </c>
    </row>
    <row r="57" customFormat="false" ht="15.75" hidden="false" customHeight="false" outlineLevel="0" collapsed="false">
      <c r="A57" s="47" t="s">
        <v>59</v>
      </c>
      <c r="B57" s="47"/>
      <c r="C57" s="47"/>
      <c r="D57" s="47"/>
      <c r="E57" s="47"/>
      <c r="F57" s="47"/>
      <c r="G57" s="47"/>
      <c r="H57" s="47"/>
      <c r="I57" s="47"/>
    </row>
    <row r="58" customFormat="false" ht="15.75" hidden="false" customHeight="false" outlineLevel="0" collapsed="false">
      <c r="A58" s="79" t="s">
        <v>60</v>
      </c>
      <c r="B58" s="79"/>
      <c r="C58" s="79"/>
      <c r="D58" s="79"/>
      <c r="E58" s="79"/>
      <c r="F58" s="79"/>
      <c r="G58" s="79"/>
      <c r="H58" s="79"/>
      <c r="I58" s="79"/>
    </row>
    <row r="59" customFormat="false" ht="15.75" hidden="false" customHeight="false" outlineLevel="0" collapsed="false">
      <c r="A59" s="62" t="s">
        <v>61</v>
      </c>
      <c r="B59" s="80" t="s">
        <v>62</v>
      </c>
      <c r="C59" s="80"/>
      <c r="D59" s="80"/>
      <c r="E59" s="80"/>
      <c r="F59" s="80"/>
      <c r="G59" s="80"/>
      <c r="H59" s="81" t="s">
        <v>63</v>
      </c>
      <c r="I59" s="204" t="s">
        <v>35</v>
      </c>
    </row>
    <row r="60" customFormat="false" ht="15.75" hidden="false" customHeight="false" outlineLevel="0" collapsed="false">
      <c r="A60" s="82" t="s">
        <v>8</v>
      </c>
      <c r="B60" s="83" t="s">
        <v>64</v>
      </c>
      <c r="C60" s="83"/>
      <c r="D60" s="83"/>
      <c r="E60" s="83"/>
      <c r="F60" s="83"/>
      <c r="G60" s="83"/>
      <c r="H60" s="84" t="n">
        <v>0.2</v>
      </c>
      <c r="I60" s="207" t="n">
        <f aca="false">ROUND(($I$42-$I$38)*H60,2)</f>
        <v>502.8</v>
      </c>
      <c r="K60" s="66"/>
    </row>
    <row r="61" customFormat="false" ht="15.75" hidden="false" customHeight="false" outlineLevel="0" collapsed="false">
      <c r="A61" s="82" t="s">
        <v>10</v>
      </c>
      <c r="B61" s="83" t="s">
        <v>65</v>
      </c>
      <c r="C61" s="83"/>
      <c r="D61" s="83"/>
      <c r="E61" s="83"/>
      <c r="F61" s="83"/>
      <c r="G61" s="83"/>
      <c r="H61" s="85" t="n">
        <v>0.015</v>
      </c>
      <c r="I61" s="207" t="n">
        <f aca="false">ROUND(($I$42-$I$38)*H61,2)</f>
        <v>37.71</v>
      </c>
      <c r="K61" s="66"/>
    </row>
    <row r="62" customFormat="false" ht="15.75" hidden="false" customHeight="false" outlineLevel="0" collapsed="false">
      <c r="A62" s="82" t="s">
        <v>12</v>
      </c>
      <c r="B62" s="83" t="s">
        <v>66</v>
      </c>
      <c r="C62" s="83"/>
      <c r="D62" s="83"/>
      <c r="E62" s="83"/>
      <c r="F62" s="83"/>
      <c r="G62" s="83"/>
      <c r="H62" s="84" t="n">
        <v>0.01</v>
      </c>
      <c r="I62" s="207" t="n">
        <f aca="false">ROUND(($I$42-$I$38)*H62,2)</f>
        <v>25.14</v>
      </c>
      <c r="K62" s="66"/>
    </row>
    <row r="63" customFormat="false" ht="15.75" hidden="false" customHeight="false" outlineLevel="0" collapsed="false">
      <c r="A63" s="82" t="s">
        <v>14</v>
      </c>
      <c r="B63" s="83" t="s">
        <v>67</v>
      </c>
      <c r="C63" s="83"/>
      <c r="D63" s="83"/>
      <c r="E63" s="83"/>
      <c r="F63" s="83"/>
      <c r="G63" s="83"/>
      <c r="H63" s="86" t="n">
        <v>0.002</v>
      </c>
      <c r="I63" s="207" t="n">
        <f aca="false">ROUND(($I$42-$I$38)*H63,2)</f>
        <v>5.03</v>
      </c>
      <c r="K63" s="66"/>
    </row>
    <row r="64" customFormat="false" ht="15.75" hidden="false" customHeight="false" outlineLevel="0" collapsed="false">
      <c r="A64" s="82" t="s">
        <v>40</v>
      </c>
      <c r="B64" s="83" t="s">
        <v>68</v>
      </c>
      <c r="C64" s="83"/>
      <c r="D64" s="83"/>
      <c r="E64" s="83"/>
      <c r="F64" s="83"/>
      <c r="G64" s="83"/>
      <c r="H64" s="86" t="n">
        <v>0.025</v>
      </c>
      <c r="I64" s="207" t="n">
        <f aca="false">ROUND(($I$42-$I$38)*H64,2)</f>
        <v>62.85</v>
      </c>
      <c r="K64" s="66"/>
    </row>
    <row r="65" customFormat="false" ht="15.75" hidden="false" customHeight="false" outlineLevel="0" collapsed="false">
      <c r="A65" s="82" t="s">
        <v>42</v>
      </c>
      <c r="B65" s="83" t="s">
        <v>69</v>
      </c>
      <c r="C65" s="83"/>
      <c r="D65" s="83"/>
      <c r="E65" s="83"/>
      <c r="F65" s="83"/>
      <c r="G65" s="83"/>
      <c r="H65" s="84" t="n">
        <v>0.08</v>
      </c>
      <c r="I65" s="207" t="n">
        <f aca="false">ROUND(($I$42-$I$38)*H65,2)</f>
        <v>201.12</v>
      </c>
      <c r="K65" s="66"/>
    </row>
    <row r="66" customFormat="false" ht="15.75" hidden="false" customHeight="false" outlineLevel="0" collapsed="false">
      <c r="A66" s="82" t="s">
        <v>70</v>
      </c>
      <c r="B66" s="87" t="s">
        <v>71</v>
      </c>
      <c r="C66" s="87"/>
      <c r="D66" s="87"/>
      <c r="E66" s="87"/>
      <c r="F66" s="88" t="s">
        <v>72</v>
      </c>
      <c r="G66" s="89" t="s">
        <v>196</v>
      </c>
      <c r="H66" s="86" t="n">
        <v>0.015</v>
      </c>
      <c r="I66" s="207" t="n">
        <f aca="false">ROUND(($I$42-$I$38)*H66,2)</f>
        <v>37.71</v>
      </c>
      <c r="K66" s="66"/>
    </row>
    <row r="67" customFormat="false" ht="15.75" hidden="false" customHeight="false" outlineLevel="0" collapsed="false">
      <c r="A67" s="82" t="s">
        <v>74</v>
      </c>
      <c r="B67" s="83" t="s">
        <v>75</v>
      </c>
      <c r="C67" s="83"/>
      <c r="D67" s="83"/>
      <c r="E67" s="83"/>
      <c r="F67" s="83"/>
      <c r="G67" s="83"/>
      <c r="H67" s="86" t="n">
        <v>0.006</v>
      </c>
      <c r="I67" s="207" t="n">
        <f aca="false">ROUND(($I$42-$I$38)*H67,2)</f>
        <v>15.08</v>
      </c>
      <c r="K67" s="66"/>
    </row>
    <row r="68" customFormat="false" ht="15.75" hidden="false" customHeight="false" outlineLevel="0" collapsed="false">
      <c r="A68" s="90" t="s">
        <v>76</v>
      </c>
      <c r="B68" s="90"/>
      <c r="C68" s="90"/>
      <c r="D68" s="90"/>
      <c r="E68" s="90"/>
      <c r="F68" s="90"/>
      <c r="G68" s="90"/>
      <c r="H68" s="91" t="n">
        <f aca="false">SUM(H60:H67)</f>
        <v>0.353</v>
      </c>
      <c r="I68" s="219" t="n">
        <f aca="false">SUM(I60:I67)</f>
        <v>887.44</v>
      </c>
      <c r="K68" s="66"/>
    </row>
    <row r="69" customFormat="false" ht="15.75" hidden="false" customHeight="false" outlineLevel="0" collapsed="false">
      <c r="A69" s="93" t="s">
        <v>229</v>
      </c>
      <c r="B69" s="93"/>
      <c r="C69" s="93"/>
      <c r="D69" s="93"/>
      <c r="E69" s="93"/>
      <c r="F69" s="93"/>
      <c r="G69" s="93"/>
      <c r="H69" s="93"/>
      <c r="I69" s="93"/>
    </row>
    <row r="70" customFormat="false" ht="15.75" hidden="false" customHeight="false" outlineLevel="0" collapsed="false">
      <c r="A70" s="94" t="s">
        <v>78</v>
      </c>
      <c r="B70" s="94"/>
      <c r="C70" s="94"/>
      <c r="D70" s="94"/>
      <c r="E70" s="94"/>
      <c r="F70" s="94"/>
      <c r="G70" s="94"/>
      <c r="H70" s="94"/>
      <c r="I70" s="94"/>
    </row>
    <row r="71" customFormat="false" ht="15.75" hidden="false" customHeight="false" outlineLevel="0" collapsed="false">
      <c r="A71" s="79" t="s">
        <v>79</v>
      </c>
      <c r="B71" s="79"/>
      <c r="C71" s="79"/>
      <c r="D71" s="79"/>
      <c r="E71" s="79"/>
      <c r="F71" s="79"/>
      <c r="G71" s="79"/>
      <c r="H71" s="79"/>
      <c r="I71" s="79"/>
    </row>
    <row r="72" customFormat="false" ht="15.75" hidden="false" customHeight="false" outlineLevel="0" collapsed="false">
      <c r="A72" s="62" t="s">
        <v>80</v>
      </c>
      <c r="B72" s="81" t="s">
        <v>81</v>
      </c>
      <c r="C72" s="81"/>
      <c r="D72" s="81"/>
      <c r="E72" s="81"/>
      <c r="F72" s="81"/>
      <c r="G72" s="81"/>
      <c r="H72" s="81"/>
      <c r="I72" s="204" t="s">
        <v>35</v>
      </c>
    </row>
    <row r="73" customFormat="false" ht="36" hidden="false" customHeight="true" outlineLevel="0" collapsed="false">
      <c r="A73" s="17" t="s">
        <v>8</v>
      </c>
      <c r="B73" s="95" t="s">
        <v>82</v>
      </c>
      <c r="C73" s="95"/>
      <c r="D73" s="95"/>
      <c r="E73" s="95"/>
      <c r="F73" s="95"/>
      <c r="G73" s="95"/>
      <c r="H73" s="95"/>
      <c r="I73" s="220" t="n">
        <f aca="false">ROUND(I42/12,2)</f>
        <v>240.65</v>
      </c>
      <c r="K73" s="66"/>
    </row>
    <row r="74" customFormat="false" ht="15.75" hidden="false" customHeight="false" outlineLevel="0" collapsed="false">
      <c r="A74" s="97" t="s">
        <v>83</v>
      </c>
      <c r="B74" s="97"/>
      <c r="C74" s="97"/>
      <c r="D74" s="97"/>
      <c r="E74" s="97"/>
      <c r="F74" s="97"/>
      <c r="G74" s="97"/>
      <c r="H74" s="97"/>
      <c r="I74" s="207" t="n">
        <f aca="false">SUM(I73:I73)</f>
        <v>240.65</v>
      </c>
      <c r="K74" s="66"/>
    </row>
    <row r="75" customFormat="false" ht="15.75" hidden="false" customHeight="false" outlineLevel="0" collapsed="false">
      <c r="A75" s="17" t="s">
        <v>10</v>
      </c>
      <c r="B75" s="83" t="s">
        <v>84</v>
      </c>
      <c r="C75" s="83"/>
      <c r="D75" s="83"/>
      <c r="E75" s="83"/>
      <c r="F75" s="83"/>
      <c r="G75" s="83"/>
      <c r="H75" s="83"/>
      <c r="I75" s="207" t="n">
        <f aca="false">ROUND(I74*H68,2)</f>
        <v>84.95</v>
      </c>
      <c r="K75" s="66"/>
    </row>
    <row r="76" customFormat="false" ht="15.75" hidden="false" customHeight="false" outlineLevel="0" collapsed="false">
      <c r="A76" s="60" t="s">
        <v>76</v>
      </c>
      <c r="B76" s="60"/>
      <c r="C76" s="60"/>
      <c r="D76" s="60"/>
      <c r="E76" s="60"/>
      <c r="F76" s="60"/>
      <c r="G76" s="60"/>
      <c r="H76" s="60"/>
      <c r="I76" s="210" t="n">
        <f aca="false">SUM(I74:I75)</f>
        <v>325.6</v>
      </c>
      <c r="K76" s="66"/>
    </row>
    <row r="77" customFormat="false" ht="15.75" hidden="false" customHeight="false" outlineLevel="0" collapsed="false">
      <c r="A77" s="79" t="s">
        <v>85</v>
      </c>
      <c r="B77" s="79"/>
      <c r="C77" s="79"/>
      <c r="D77" s="79"/>
      <c r="E77" s="79"/>
      <c r="F77" s="79"/>
      <c r="G77" s="79"/>
      <c r="H77" s="79"/>
      <c r="I77" s="79"/>
    </row>
    <row r="78" customFormat="false" ht="15.75" hidden="false" customHeight="false" outlineLevel="0" collapsed="false">
      <c r="A78" s="62" t="s">
        <v>86</v>
      </c>
      <c r="B78" s="81" t="s">
        <v>87</v>
      </c>
      <c r="C78" s="81"/>
      <c r="D78" s="81"/>
      <c r="E78" s="81"/>
      <c r="F78" s="81"/>
      <c r="G78" s="81"/>
      <c r="H78" s="81"/>
      <c r="I78" s="204" t="s">
        <v>35</v>
      </c>
    </row>
    <row r="79" customFormat="false" ht="15.75" hidden="false" customHeight="false" outlineLevel="0" collapsed="false">
      <c r="A79" s="17" t="s">
        <v>8</v>
      </c>
      <c r="B79" s="52" t="s">
        <v>88</v>
      </c>
      <c r="C79" s="52"/>
      <c r="D79" s="52"/>
      <c r="E79" s="52"/>
      <c r="F79" s="52"/>
      <c r="G79" s="52"/>
      <c r="H79" s="52"/>
      <c r="I79" s="75" t="n">
        <f aca="false">ROUND((((I42+I42/3)*(4/12))/12)*0.02,2)</f>
        <v>2.14</v>
      </c>
    </row>
    <row r="80" customFormat="false" ht="15.75" hidden="false" customHeight="false" outlineLevel="0" collapsed="false">
      <c r="A80" s="17" t="s">
        <v>10</v>
      </c>
      <c r="B80" s="83" t="s">
        <v>89</v>
      </c>
      <c r="C80" s="83"/>
      <c r="D80" s="83"/>
      <c r="E80" s="83"/>
      <c r="F80" s="83"/>
      <c r="G80" s="83"/>
      <c r="H80" s="83"/>
      <c r="I80" s="75" t="n">
        <f aca="false">ROUND(I79*H68,2)</f>
        <v>0.76</v>
      </c>
    </row>
    <row r="81" customFormat="false" ht="15.75" hidden="false" customHeight="false" outlineLevel="0" collapsed="false">
      <c r="A81" s="60" t="s">
        <v>76</v>
      </c>
      <c r="B81" s="60"/>
      <c r="C81" s="60"/>
      <c r="D81" s="60"/>
      <c r="E81" s="60"/>
      <c r="F81" s="60"/>
      <c r="G81" s="60"/>
      <c r="H81" s="60"/>
      <c r="I81" s="210" t="n">
        <f aca="false">SUM(I79:I80)</f>
        <v>2.9</v>
      </c>
    </row>
    <row r="82" customFormat="false" ht="15.75" hidden="false" customHeight="false" outlineLevel="0" collapsed="false">
      <c r="A82" s="79" t="s">
        <v>90</v>
      </c>
      <c r="B82" s="79"/>
      <c r="C82" s="79"/>
      <c r="D82" s="79"/>
      <c r="E82" s="79"/>
      <c r="F82" s="79"/>
      <c r="G82" s="79"/>
      <c r="H82" s="79"/>
      <c r="I82" s="79"/>
    </row>
    <row r="83" customFormat="false" ht="15.75" hidden="false" customHeight="false" outlineLevel="0" collapsed="false">
      <c r="A83" s="62" t="s">
        <v>91</v>
      </c>
      <c r="B83" s="81" t="s">
        <v>92</v>
      </c>
      <c r="C83" s="81"/>
      <c r="D83" s="81"/>
      <c r="E83" s="81"/>
      <c r="F83" s="81"/>
      <c r="G83" s="81"/>
      <c r="H83" s="81"/>
      <c r="I83" s="204" t="s">
        <v>35</v>
      </c>
    </row>
    <row r="84" customFormat="false" ht="25.5" hidden="false" customHeight="true" outlineLevel="0" collapsed="false">
      <c r="A84" s="17" t="s">
        <v>8</v>
      </c>
      <c r="B84" s="99" t="s">
        <v>93</v>
      </c>
      <c r="C84" s="99"/>
      <c r="D84" s="99"/>
      <c r="E84" s="99"/>
      <c r="F84" s="99"/>
      <c r="G84" s="99"/>
      <c r="H84" s="99"/>
      <c r="I84" s="207" t="n">
        <f aca="false">ROUND((I42/12)*(30/30)*0.05,2)</f>
        <v>12.03</v>
      </c>
    </row>
    <row r="85" customFormat="false" ht="15.75" hidden="false" customHeight="true" outlineLevel="0" collapsed="false">
      <c r="A85" s="17" t="s">
        <v>10</v>
      </c>
      <c r="B85" s="83" t="s">
        <v>94</v>
      </c>
      <c r="C85" s="83"/>
      <c r="D85" s="83"/>
      <c r="E85" s="83"/>
      <c r="F85" s="83"/>
      <c r="G85" s="83"/>
      <c r="H85" s="83"/>
      <c r="I85" s="207" t="n">
        <f aca="false">ROUND(I84*H65,2)</f>
        <v>0.96</v>
      </c>
    </row>
    <row r="86" customFormat="false" ht="49.5" hidden="false" customHeight="true" outlineLevel="0" collapsed="false">
      <c r="A86" s="17" t="s">
        <v>12</v>
      </c>
      <c r="B86" s="95" t="s">
        <v>95</v>
      </c>
      <c r="C86" s="95"/>
      <c r="D86" s="95"/>
      <c r="E86" s="95"/>
      <c r="F86" s="95"/>
      <c r="G86" s="95"/>
      <c r="H86" s="95"/>
      <c r="I86" s="220" t="n">
        <f aca="false">ROUND(0.0024*I42,2)</f>
        <v>6.93</v>
      </c>
      <c r="K86" s="66"/>
    </row>
    <row r="87" customFormat="false" ht="30.75" hidden="false" customHeight="true" outlineLevel="0" collapsed="false">
      <c r="A87" s="100" t="s">
        <v>14</v>
      </c>
      <c r="B87" s="99" t="s">
        <v>96</v>
      </c>
      <c r="C87" s="99"/>
      <c r="D87" s="99"/>
      <c r="E87" s="99"/>
      <c r="F87" s="99"/>
      <c r="G87" s="99"/>
      <c r="H87" s="99"/>
      <c r="I87" s="207" t="n">
        <v>0</v>
      </c>
      <c r="N87" s="101"/>
    </row>
    <row r="88" customFormat="false" ht="18" hidden="false" customHeight="true" outlineLevel="0" collapsed="false">
      <c r="A88" s="17" t="s">
        <v>40</v>
      </c>
      <c r="B88" s="83" t="s">
        <v>97</v>
      </c>
      <c r="C88" s="83"/>
      <c r="D88" s="83"/>
      <c r="E88" s="83"/>
      <c r="F88" s="83"/>
      <c r="G88" s="83"/>
      <c r="H88" s="83"/>
      <c r="I88" s="207" t="n">
        <f aca="false">ROUND(I87*H68,2)</f>
        <v>0</v>
      </c>
      <c r="J88" s="13"/>
      <c r="K88" s="13"/>
      <c r="L88" s="102"/>
    </row>
    <row r="89" customFormat="false" ht="48.75" hidden="false" customHeight="true" outlineLevel="0" collapsed="false">
      <c r="A89" s="17" t="s">
        <v>42</v>
      </c>
      <c r="B89" s="95" t="s">
        <v>98</v>
      </c>
      <c r="C89" s="95"/>
      <c r="D89" s="95"/>
      <c r="E89" s="95"/>
      <c r="F89" s="95"/>
      <c r="G89" s="95"/>
      <c r="H89" s="95"/>
      <c r="I89" s="220" t="n">
        <f aca="false">ROUND(0.0476*I42,2)</f>
        <v>137.46</v>
      </c>
      <c r="J89" s="13"/>
      <c r="K89" s="66"/>
      <c r="L89" s="13"/>
    </row>
    <row r="90" customFormat="false" ht="20.25" hidden="false" customHeight="true" outlineLevel="0" collapsed="false">
      <c r="A90" s="60" t="s">
        <v>76</v>
      </c>
      <c r="B90" s="60"/>
      <c r="C90" s="60"/>
      <c r="D90" s="60"/>
      <c r="E90" s="60"/>
      <c r="F90" s="60"/>
      <c r="G90" s="60"/>
      <c r="H90" s="60"/>
      <c r="I90" s="210" t="n">
        <f aca="false">SUM(I84:I89)</f>
        <v>157.38</v>
      </c>
    </row>
    <row r="91" customFormat="false" ht="20.25" hidden="false" customHeight="true" outlineLevel="0" collapsed="false">
      <c r="A91" s="79" t="s">
        <v>99</v>
      </c>
      <c r="B91" s="79"/>
      <c r="C91" s="79"/>
      <c r="D91" s="79"/>
      <c r="E91" s="79"/>
      <c r="F91" s="79"/>
      <c r="G91" s="79"/>
      <c r="H91" s="79"/>
      <c r="I91" s="79"/>
    </row>
    <row r="92" customFormat="false" ht="15.75" hidden="false" customHeight="false" outlineLevel="0" collapsed="false">
      <c r="A92" s="62" t="s">
        <v>100</v>
      </c>
      <c r="B92" s="81" t="s">
        <v>101</v>
      </c>
      <c r="C92" s="81"/>
      <c r="D92" s="81"/>
      <c r="E92" s="81"/>
      <c r="F92" s="81"/>
      <c r="G92" s="81"/>
      <c r="H92" s="81"/>
      <c r="I92" s="204" t="s">
        <v>35</v>
      </c>
    </row>
    <row r="93" customFormat="false" ht="49.5" hidden="false" customHeight="true" outlineLevel="0" collapsed="false">
      <c r="A93" s="17" t="s">
        <v>8</v>
      </c>
      <c r="B93" s="95" t="s">
        <v>102</v>
      </c>
      <c r="C93" s="95"/>
      <c r="D93" s="95"/>
      <c r="E93" s="95"/>
      <c r="F93" s="95"/>
      <c r="G93" s="95"/>
      <c r="H93" s="95"/>
      <c r="I93" s="220" t="n">
        <f aca="false">ROUND(0.121*I42,2)</f>
        <v>349.42</v>
      </c>
      <c r="K93" s="66"/>
    </row>
    <row r="94" customFormat="false" ht="17.25" hidden="false" customHeight="true" outlineLevel="0" collapsed="false">
      <c r="A94" s="17" t="s">
        <v>10</v>
      </c>
      <c r="B94" s="52" t="s">
        <v>103</v>
      </c>
      <c r="C94" s="52"/>
      <c r="D94" s="52"/>
      <c r="E94" s="52"/>
      <c r="F94" s="52"/>
      <c r="G94" s="52"/>
      <c r="H94" s="52"/>
      <c r="I94" s="207" t="n">
        <f aca="false">ROUND(((I42/30)*5)/12,2)</f>
        <v>40.11</v>
      </c>
    </row>
    <row r="95" customFormat="false" ht="16.5" hidden="false" customHeight="true" outlineLevel="0" collapsed="false">
      <c r="A95" s="17" t="s">
        <v>12</v>
      </c>
      <c r="B95" s="52" t="s">
        <v>104</v>
      </c>
      <c r="C95" s="52"/>
      <c r="D95" s="52"/>
      <c r="E95" s="52"/>
      <c r="F95" s="52"/>
      <c r="G95" s="52"/>
      <c r="H95" s="52"/>
      <c r="I95" s="207" t="n">
        <f aca="false">ROUND((((I42/30)*5)/12)*0.015,2)</f>
        <v>0.6</v>
      </c>
    </row>
    <row r="96" customFormat="false" ht="17.25" hidden="false" customHeight="true" outlineLevel="0" collapsed="false">
      <c r="A96" s="17" t="s">
        <v>14</v>
      </c>
      <c r="B96" s="52" t="s">
        <v>105</v>
      </c>
      <c r="C96" s="52"/>
      <c r="D96" s="52"/>
      <c r="E96" s="52"/>
      <c r="F96" s="52"/>
      <c r="G96" s="52"/>
      <c r="H96" s="52"/>
      <c r="I96" s="207" t="n">
        <f aca="false">ROUND(((I42/30)*2.96)/12,2)</f>
        <v>23.74</v>
      </c>
    </row>
    <row r="97" customFormat="false" ht="16.5" hidden="false" customHeight="true" outlineLevel="0" collapsed="false">
      <c r="A97" s="17" t="s">
        <v>40</v>
      </c>
      <c r="B97" s="52" t="s">
        <v>106</v>
      </c>
      <c r="C97" s="52"/>
      <c r="D97" s="52"/>
      <c r="E97" s="52"/>
      <c r="F97" s="52"/>
      <c r="G97" s="52"/>
      <c r="H97" s="52"/>
      <c r="I97" s="207" t="n">
        <f aca="false">ROUND((((I42/30)*15)/12)*0.0078,2)</f>
        <v>0.94</v>
      </c>
    </row>
    <row r="98" customFormat="false" ht="15.75" hidden="false" customHeight="false" outlineLevel="0" collapsed="false">
      <c r="A98" s="97" t="s">
        <v>83</v>
      </c>
      <c r="B98" s="97"/>
      <c r="C98" s="97"/>
      <c r="D98" s="97"/>
      <c r="E98" s="97"/>
      <c r="F98" s="97"/>
      <c r="G98" s="97"/>
      <c r="H98" s="97"/>
      <c r="I98" s="223" t="n">
        <f aca="false">SUM(I93:I97)</f>
        <v>414.81</v>
      </c>
      <c r="K98" s="66"/>
    </row>
    <row r="99" customFormat="false" ht="18" hidden="false" customHeight="true" outlineLevel="0" collapsed="false">
      <c r="A99" s="17" t="s">
        <v>70</v>
      </c>
      <c r="B99" s="83" t="s">
        <v>107</v>
      </c>
      <c r="C99" s="83"/>
      <c r="D99" s="83"/>
      <c r="E99" s="83"/>
      <c r="F99" s="83"/>
      <c r="G99" s="83"/>
      <c r="H99" s="83"/>
      <c r="I99" s="224" t="n">
        <f aca="false">ROUND(I98*H68,2)</f>
        <v>146.43</v>
      </c>
      <c r="K99" s="66"/>
    </row>
    <row r="100" customFormat="false" ht="15.75" hidden="false" customHeight="false" outlineLevel="0" collapsed="false">
      <c r="A100" s="60" t="s">
        <v>76</v>
      </c>
      <c r="B100" s="60"/>
      <c r="C100" s="60"/>
      <c r="D100" s="60"/>
      <c r="E100" s="60"/>
      <c r="F100" s="60"/>
      <c r="G100" s="60"/>
      <c r="H100" s="60"/>
      <c r="I100" s="210" t="n">
        <f aca="false">SUM(I98+I99)</f>
        <v>561.24</v>
      </c>
      <c r="K100" s="66"/>
    </row>
    <row r="101" customFormat="false" ht="15.75" hidden="false" customHeight="false" outlineLevel="0" collapsed="false">
      <c r="A101" s="104" t="s">
        <v>108</v>
      </c>
      <c r="B101" s="104"/>
      <c r="C101" s="104"/>
      <c r="D101" s="104"/>
      <c r="E101" s="104"/>
      <c r="F101" s="104"/>
      <c r="G101" s="104"/>
      <c r="H101" s="104"/>
      <c r="I101" s="104"/>
    </row>
    <row r="102" customFormat="false" ht="15.75" hidden="false" customHeight="false" outlineLevel="0" collapsed="false">
      <c r="A102" s="62" t="n">
        <v>4</v>
      </c>
      <c r="B102" s="81" t="s">
        <v>109</v>
      </c>
      <c r="C102" s="81"/>
      <c r="D102" s="81"/>
      <c r="E102" s="81"/>
      <c r="F102" s="81"/>
      <c r="G102" s="81"/>
      <c r="H102" s="81"/>
      <c r="I102" s="204" t="s">
        <v>35</v>
      </c>
    </row>
    <row r="103" customFormat="false" ht="15.75" hidden="false" customHeight="false" outlineLevel="0" collapsed="false">
      <c r="A103" s="17" t="s">
        <v>61</v>
      </c>
      <c r="B103" s="83" t="s">
        <v>62</v>
      </c>
      <c r="C103" s="83"/>
      <c r="D103" s="83"/>
      <c r="E103" s="83"/>
      <c r="F103" s="83"/>
      <c r="G103" s="83"/>
      <c r="H103" s="83"/>
      <c r="I103" s="75" t="n">
        <f aca="false">I68</f>
        <v>887.44</v>
      </c>
    </row>
    <row r="104" customFormat="false" ht="15.75" hidden="false" customHeight="false" outlineLevel="0" collapsed="false">
      <c r="A104" s="17" t="s">
        <v>80</v>
      </c>
      <c r="B104" s="83" t="s">
        <v>110</v>
      </c>
      <c r="C104" s="83"/>
      <c r="D104" s="83"/>
      <c r="E104" s="83"/>
      <c r="F104" s="83"/>
      <c r="G104" s="83"/>
      <c r="H104" s="83"/>
      <c r="I104" s="75" t="n">
        <f aca="false">I76</f>
        <v>325.6</v>
      </c>
    </row>
    <row r="105" customFormat="false" ht="15.75" hidden="false" customHeight="false" outlineLevel="0" collapsed="false">
      <c r="A105" s="17" t="s">
        <v>86</v>
      </c>
      <c r="B105" s="83" t="s">
        <v>87</v>
      </c>
      <c r="C105" s="83"/>
      <c r="D105" s="83"/>
      <c r="E105" s="83"/>
      <c r="F105" s="83"/>
      <c r="G105" s="83"/>
      <c r="H105" s="83"/>
      <c r="I105" s="75" t="n">
        <f aca="false">I81</f>
        <v>2.9</v>
      </c>
    </row>
    <row r="106" customFormat="false" ht="15.75" hidden="false" customHeight="false" outlineLevel="0" collapsed="false">
      <c r="A106" s="17" t="s">
        <v>91</v>
      </c>
      <c r="B106" s="83" t="s">
        <v>111</v>
      </c>
      <c r="C106" s="83"/>
      <c r="D106" s="83"/>
      <c r="E106" s="83"/>
      <c r="F106" s="83"/>
      <c r="G106" s="83"/>
      <c r="H106" s="83"/>
      <c r="I106" s="75" t="n">
        <f aca="false">I90</f>
        <v>157.38</v>
      </c>
    </row>
    <row r="107" customFormat="false" ht="15.75" hidden="false" customHeight="false" outlineLevel="0" collapsed="false">
      <c r="A107" s="17" t="s">
        <v>100</v>
      </c>
      <c r="B107" s="83" t="s">
        <v>112</v>
      </c>
      <c r="C107" s="83"/>
      <c r="D107" s="83"/>
      <c r="E107" s="83"/>
      <c r="F107" s="83"/>
      <c r="G107" s="83"/>
      <c r="H107" s="83"/>
      <c r="I107" s="75" t="n">
        <f aca="false">I100</f>
        <v>561.24</v>
      </c>
    </row>
    <row r="108" customFormat="false" ht="15.75" hidden="false" customHeight="false" outlineLevel="0" collapsed="false">
      <c r="A108" s="60" t="s">
        <v>76</v>
      </c>
      <c r="B108" s="60"/>
      <c r="C108" s="60"/>
      <c r="D108" s="60"/>
      <c r="E108" s="60"/>
      <c r="F108" s="60"/>
      <c r="G108" s="60"/>
      <c r="H108" s="60"/>
      <c r="I108" s="210" t="n">
        <f aca="false">SUM(I103:I107)</f>
        <v>1934.56</v>
      </c>
      <c r="K108" s="106"/>
    </row>
    <row r="109" customFormat="false" ht="16.5" hidden="false" customHeight="true" outlineLevel="0" collapsed="false">
      <c r="A109" s="107" t="s">
        <v>113</v>
      </c>
      <c r="B109" s="107"/>
      <c r="C109" s="107"/>
      <c r="D109" s="107"/>
      <c r="E109" s="107"/>
      <c r="F109" s="107"/>
      <c r="G109" s="107"/>
      <c r="H109" s="107"/>
      <c r="I109" s="107"/>
    </row>
    <row r="110" customFormat="false" ht="15.75" hidden="false" customHeight="false" outlineLevel="0" collapsed="false">
      <c r="A110" s="62" t="n">
        <v>5</v>
      </c>
      <c r="B110" s="63" t="s">
        <v>114</v>
      </c>
      <c r="C110" s="63"/>
      <c r="D110" s="63"/>
      <c r="E110" s="63"/>
      <c r="F110" s="63"/>
      <c r="G110" s="63"/>
      <c r="H110" s="108" t="s">
        <v>63</v>
      </c>
      <c r="I110" s="204" t="s">
        <v>35</v>
      </c>
    </row>
    <row r="111" customFormat="false" ht="48" hidden="false" customHeight="true" outlineLevel="0" collapsed="false">
      <c r="A111" s="109" t="s">
        <v>115</v>
      </c>
      <c r="B111" s="109"/>
      <c r="C111" s="109"/>
      <c r="D111" s="109"/>
      <c r="E111" s="109"/>
      <c r="F111" s="109"/>
      <c r="G111" s="109"/>
      <c r="H111" s="110" t="n">
        <v>0</v>
      </c>
      <c r="I111" s="226" t="n">
        <f aca="false">(I42+I51+I56+I108)</f>
        <v>5730.43225</v>
      </c>
    </row>
    <row r="112" customFormat="false" ht="15.75" hidden="false" customHeight="false" outlineLevel="0" collapsed="false">
      <c r="A112" s="17" t="s">
        <v>8</v>
      </c>
      <c r="B112" s="83" t="s">
        <v>116</v>
      </c>
      <c r="C112" s="83"/>
      <c r="D112" s="83"/>
      <c r="E112" s="83"/>
      <c r="F112" s="83"/>
      <c r="G112" s="83"/>
      <c r="H112" s="112" t="n">
        <f aca="false">'Alegrete 1.1'!H110</f>
        <v>0.1207</v>
      </c>
      <c r="I112" s="207" t="n">
        <f aca="false">ROUND(I111*H112,2)</f>
        <v>691.66</v>
      </c>
      <c r="J112" s="113"/>
    </row>
    <row r="113" customFormat="false" ht="51" hidden="false" customHeight="true" outlineLevel="0" collapsed="false">
      <c r="A113" s="109" t="s">
        <v>117</v>
      </c>
      <c r="B113" s="109"/>
      <c r="C113" s="109"/>
      <c r="D113" s="109"/>
      <c r="E113" s="109"/>
      <c r="F113" s="109"/>
      <c r="G113" s="109"/>
      <c r="H113" s="114" t="n">
        <v>0</v>
      </c>
      <c r="I113" s="228" t="n">
        <f aca="false">I111+I112</f>
        <v>6422.09225</v>
      </c>
      <c r="J113" s="113"/>
    </row>
    <row r="114" customFormat="false" ht="15.75" hidden="false" customHeight="false" outlineLevel="0" collapsed="false">
      <c r="A114" s="17" t="s">
        <v>10</v>
      </c>
      <c r="B114" s="83" t="s">
        <v>118</v>
      </c>
      <c r="C114" s="83"/>
      <c r="D114" s="83"/>
      <c r="E114" s="83"/>
      <c r="F114" s="83"/>
      <c r="G114" s="83"/>
      <c r="H114" s="112" t="n">
        <f aca="false">'Alegrete 1.1'!H112</f>
        <v>0.0818</v>
      </c>
      <c r="I114" s="207" t="n">
        <f aca="false">ROUND(I113*H114,2)</f>
        <v>525.33</v>
      </c>
      <c r="J114" s="116"/>
    </row>
    <row r="115" customFormat="false" ht="52.5" hidden="false" customHeight="true" outlineLevel="0" collapsed="false">
      <c r="A115" s="109" t="s">
        <v>119</v>
      </c>
      <c r="B115" s="109"/>
      <c r="C115" s="109"/>
      <c r="D115" s="109"/>
      <c r="E115" s="109"/>
      <c r="F115" s="109"/>
      <c r="G115" s="109"/>
      <c r="H115" s="117" t="n">
        <v>0</v>
      </c>
      <c r="I115" s="231" t="n">
        <f aca="false">I113+I114</f>
        <v>6947.42225</v>
      </c>
      <c r="J115" s="116"/>
    </row>
    <row r="116" customFormat="false" ht="15.75" hidden="false" customHeight="false" outlineLevel="0" collapsed="false">
      <c r="A116" s="17" t="s">
        <v>12</v>
      </c>
      <c r="B116" s="83" t="s">
        <v>120</v>
      </c>
      <c r="C116" s="83"/>
      <c r="D116" s="83"/>
      <c r="E116" s="83"/>
      <c r="F116" s="83"/>
      <c r="G116" s="83"/>
      <c r="H116" s="119" t="s">
        <v>198</v>
      </c>
      <c r="I116" s="232" t="s">
        <v>198</v>
      </c>
      <c r="J116" s="116"/>
    </row>
    <row r="117" customFormat="false" ht="15.75" hidden="false" customHeight="false" outlineLevel="0" collapsed="false">
      <c r="A117" s="17"/>
      <c r="B117" s="83" t="s">
        <v>121</v>
      </c>
      <c r="C117" s="83"/>
      <c r="D117" s="83"/>
      <c r="E117" s="83"/>
      <c r="F117" s="83"/>
      <c r="G117" s="83"/>
      <c r="H117" s="119" t="s">
        <v>198</v>
      </c>
      <c r="I117" s="232" t="s">
        <v>198</v>
      </c>
    </row>
    <row r="118" customFormat="false" ht="30.75" hidden="false" customHeight="true" outlineLevel="0" collapsed="false">
      <c r="A118" s="17"/>
      <c r="B118" s="67" t="s">
        <v>199</v>
      </c>
      <c r="C118" s="67"/>
      <c r="D118" s="67"/>
      <c r="E118" s="67"/>
      <c r="F118" s="67"/>
      <c r="G118" s="67"/>
      <c r="H118" s="121" t="n">
        <v>0.03</v>
      </c>
      <c r="I118" s="207" t="n">
        <f aca="false">ROUND(($I$115/(1-H125))*H118,2)</f>
        <v>228.16</v>
      </c>
    </row>
    <row r="119" customFormat="false" ht="24.75" hidden="false" customHeight="true" outlineLevel="0" collapsed="false">
      <c r="A119" s="17"/>
      <c r="B119" s="67" t="s">
        <v>200</v>
      </c>
      <c r="C119" s="67"/>
      <c r="D119" s="67"/>
      <c r="E119" s="67"/>
      <c r="F119" s="67"/>
      <c r="G119" s="67"/>
      <c r="H119" s="121" t="n">
        <v>0.0065</v>
      </c>
      <c r="I119" s="207" t="n">
        <f aca="false">ROUND(($I$115/(1-H125))*H119,2)</f>
        <v>49.43</v>
      </c>
      <c r="K119" s="66"/>
    </row>
    <row r="120" customFormat="false" ht="30.75" hidden="false" customHeight="true" outlineLevel="0" collapsed="false">
      <c r="A120" s="17"/>
      <c r="B120" s="122" t="s">
        <v>124</v>
      </c>
      <c r="C120" s="122"/>
      <c r="D120" s="122"/>
      <c r="E120" s="122"/>
      <c r="F120" s="122"/>
      <c r="G120" s="122"/>
      <c r="H120" s="121" t="s">
        <v>198</v>
      </c>
      <c r="I120" s="232" t="s">
        <v>198</v>
      </c>
      <c r="K120" s="66"/>
    </row>
    <row r="121" customFormat="false" ht="15.75" hidden="false" customHeight="false" outlineLevel="0" collapsed="false">
      <c r="A121" s="17"/>
      <c r="B121" s="83" t="s">
        <v>125</v>
      </c>
      <c r="C121" s="83"/>
      <c r="D121" s="83"/>
      <c r="E121" s="83"/>
      <c r="F121" s="83"/>
      <c r="G121" s="83"/>
      <c r="H121" s="119" t="s">
        <v>198</v>
      </c>
      <c r="I121" s="232" t="s">
        <v>198</v>
      </c>
    </row>
    <row r="122" customFormat="false" ht="15.75" hidden="false" customHeight="false" outlineLevel="0" collapsed="false">
      <c r="A122" s="17"/>
      <c r="B122" s="83" t="s">
        <v>126</v>
      </c>
      <c r="C122" s="83"/>
      <c r="D122" s="83"/>
      <c r="E122" s="83"/>
      <c r="F122" s="83"/>
      <c r="G122" s="83"/>
      <c r="H122" s="119" t="s">
        <v>198</v>
      </c>
      <c r="I122" s="232" t="s">
        <v>198</v>
      </c>
      <c r="K122" s="66"/>
    </row>
    <row r="123" customFormat="false" ht="15.75" hidden="false" customHeight="false" outlineLevel="0" collapsed="false">
      <c r="A123" s="17"/>
      <c r="B123" s="52" t="s">
        <v>230</v>
      </c>
      <c r="C123" s="52"/>
      <c r="D123" s="52"/>
      <c r="E123" s="52"/>
      <c r="F123" s="52"/>
      <c r="G123" s="52"/>
      <c r="H123" s="124" t="n">
        <v>0.05</v>
      </c>
      <c r="I123" s="207" t="n">
        <f aca="false">ROUND(($I$115/(1-H125))*H123,2)</f>
        <v>380.26</v>
      </c>
    </row>
    <row r="124" customFormat="false" ht="15.75" hidden="false" customHeight="false" outlineLevel="0" collapsed="false">
      <c r="A124" s="125" t="s">
        <v>76</v>
      </c>
      <c r="B124" s="125"/>
      <c r="C124" s="125"/>
      <c r="D124" s="125"/>
      <c r="E124" s="125"/>
      <c r="F124" s="125"/>
      <c r="G124" s="125"/>
      <c r="H124" s="125"/>
      <c r="I124" s="234" t="n">
        <f aca="false">I112+I114+I118+I119+I123</f>
        <v>1874.84</v>
      </c>
    </row>
    <row r="125" customFormat="false" ht="15.75" hidden="false" customHeight="false" outlineLevel="0" collapsed="false">
      <c r="A125" s="127" t="s">
        <v>128</v>
      </c>
      <c r="B125" s="127"/>
      <c r="C125" s="127"/>
      <c r="D125" s="127"/>
      <c r="E125" s="127"/>
      <c r="F125" s="127"/>
      <c r="G125" s="127"/>
      <c r="H125" s="128" t="n">
        <f aca="false">SUM(H118:H123)</f>
        <v>0.0865</v>
      </c>
      <c r="I125" s="235" t="n">
        <f aca="false">SUM(I118+I119+I123)</f>
        <v>657.85</v>
      </c>
    </row>
    <row r="126" customFormat="false" ht="15.75" hidden="false" customHeight="false" outlineLevel="0" collapsed="false">
      <c r="A126" s="130" t="s">
        <v>129</v>
      </c>
      <c r="B126" s="130"/>
      <c r="C126" s="293" t="s">
        <v>130</v>
      </c>
      <c r="D126" s="293"/>
      <c r="E126" s="293"/>
      <c r="F126" s="293"/>
      <c r="G126" s="293"/>
      <c r="H126" s="293"/>
      <c r="I126" s="293"/>
    </row>
    <row r="127" customFormat="false" ht="15" hidden="false" customHeight="false" outlineLevel="0" collapsed="false">
      <c r="A127" s="130"/>
      <c r="B127" s="130"/>
      <c r="C127" s="294" t="s">
        <v>131</v>
      </c>
      <c r="D127" s="294"/>
      <c r="E127" s="294"/>
      <c r="F127" s="294"/>
      <c r="G127" s="294"/>
      <c r="H127" s="294"/>
      <c r="I127" s="294"/>
    </row>
    <row r="128" customFormat="false" ht="15.75" hidden="false" customHeight="false" outlineLevel="0" collapsed="false">
      <c r="A128" s="133" t="s">
        <v>132</v>
      </c>
      <c r="B128" s="133"/>
      <c r="C128" s="133"/>
      <c r="D128" s="133"/>
      <c r="E128" s="133"/>
      <c r="F128" s="133"/>
      <c r="G128" s="133"/>
      <c r="H128" s="133"/>
      <c r="I128" s="133"/>
    </row>
    <row r="129" customFormat="false" ht="15.75" hidden="false" customHeight="false" outlineLevel="0" collapsed="false">
      <c r="A129" s="94" t="s">
        <v>133</v>
      </c>
      <c r="B129" s="94"/>
      <c r="C129" s="94"/>
      <c r="D129" s="94"/>
      <c r="E129" s="94"/>
      <c r="F129" s="94"/>
      <c r="G129" s="94"/>
      <c r="H129" s="94"/>
      <c r="I129" s="94"/>
    </row>
    <row r="130" customFormat="false" ht="15.75" hidden="false" customHeight="false" outlineLevel="0" collapsed="false">
      <c r="A130" s="295"/>
      <c r="B130" s="295"/>
      <c r="C130" s="295"/>
      <c r="D130" s="295"/>
      <c r="E130" s="295"/>
      <c r="F130" s="295"/>
      <c r="G130" s="295"/>
      <c r="H130" s="295"/>
      <c r="I130" s="295"/>
    </row>
    <row r="131" customFormat="false" ht="15.75" hidden="false" customHeight="false" outlineLevel="0" collapsed="false">
      <c r="A131" s="33" t="s">
        <v>134</v>
      </c>
      <c r="B131" s="33"/>
      <c r="C131" s="33"/>
      <c r="D131" s="33"/>
      <c r="E131" s="33"/>
      <c r="F131" s="33"/>
      <c r="G131" s="33"/>
      <c r="H131" s="33"/>
      <c r="I131" s="33"/>
    </row>
    <row r="132" customFormat="false" ht="15.75" hidden="false" customHeight="false" outlineLevel="0" collapsed="false">
      <c r="A132" s="135" t="s">
        <v>135</v>
      </c>
      <c r="B132" s="135"/>
      <c r="C132" s="135"/>
      <c r="D132" s="135"/>
      <c r="E132" s="135"/>
      <c r="F132" s="135"/>
      <c r="G132" s="135"/>
      <c r="H132" s="135"/>
      <c r="I132" s="135"/>
    </row>
    <row r="133" customFormat="false" ht="15.75" hidden="false" customHeight="false" outlineLevel="0" collapsed="false">
      <c r="A133" s="136" t="s">
        <v>136</v>
      </c>
      <c r="B133" s="136"/>
      <c r="C133" s="136"/>
      <c r="D133" s="136"/>
      <c r="E133" s="136"/>
      <c r="F133" s="136"/>
      <c r="G133" s="136"/>
      <c r="H133" s="136"/>
      <c r="I133" s="313" t="s">
        <v>35</v>
      </c>
    </row>
    <row r="134" customFormat="false" ht="15.75" hidden="false" customHeight="false" outlineLevel="0" collapsed="false">
      <c r="A134" s="14" t="s">
        <v>8</v>
      </c>
      <c r="B134" s="15" t="s">
        <v>137</v>
      </c>
      <c r="C134" s="15"/>
      <c r="D134" s="15"/>
      <c r="E134" s="15"/>
      <c r="F134" s="15"/>
      <c r="G134" s="15"/>
      <c r="H134" s="15"/>
      <c r="I134" s="314" t="n">
        <f aca="false">I42</f>
        <v>2887.756</v>
      </c>
    </row>
    <row r="135" customFormat="false" ht="15.75" hidden="false" customHeight="false" outlineLevel="0" collapsed="false">
      <c r="A135" s="14" t="s">
        <v>10</v>
      </c>
      <c r="B135" s="15" t="s">
        <v>138</v>
      </c>
      <c r="C135" s="15"/>
      <c r="D135" s="15"/>
      <c r="E135" s="15"/>
      <c r="F135" s="15"/>
      <c r="G135" s="15"/>
      <c r="H135" s="15"/>
      <c r="I135" s="314" t="n">
        <f aca="false">I51</f>
        <v>770.44</v>
      </c>
    </row>
    <row r="136" customFormat="false" ht="15.75" hidden="false" customHeight="false" outlineLevel="0" collapsed="false">
      <c r="A136" s="14" t="s">
        <v>12</v>
      </c>
      <c r="B136" s="15" t="s">
        <v>139</v>
      </c>
      <c r="C136" s="15"/>
      <c r="D136" s="15"/>
      <c r="E136" s="15"/>
      <c r="F136" s="15"/>
      <c r="G136" s="15"/>
      <c r="H136" s="15"/>
      <c r="I136" s="315" t="n">
        <f aca="false">I56</f>
        <v>137.67625</v>
      </c>
    </row>
    <row r="137" customFormat="false" ht="15.75" hidden="false" customHeight="false" outlineLevel="0" collapsed="false">
      <c r="A137" s="14" t="s">
        <v>14</v>
      </c>
      <c r="B137" s="15" t="s">
        <v>109</v>
      </c>
      <c r="C137" s="15"/>
      <c r="D137" s="15"/>
      <c r="E137" s="15"/>
      <c r="F137" s="15"/>
      <c r="G137" s="15"/>
      <c r="H137" s="15"/>
      <c r="I137" s="314" t="n">
        <f aca="false">I108</f>
        <v>1934.56</v>
      </c>
    </row>
    <row r="138" customFormat="false" ht="15.75" hidden="false" customHeight="false" outlineLevel="0" collapsed="false">
      <c r="A138" s="140" t="s">
        <v>140</v>
      </c>
      <c r="B138" s="140"/>
      <c r="C138" s="140"/>
      <c r="D138" s="140"/>
      <c r="E138" s="140"/>
      <c r="F138" s="140"/>
      <c r="G138" s="140"/>
      <c r="H138" s="140"/>
      <c r="I138" s="316" t="n">
        <f aca="false">SUM(I134:I137)</f>
        <v>5730.43225</v>
      </c>
    </row>
    <row r="139" customFormat="false" ht="15.75" hidden="false" customHeight="false" outlineLevel="0" collapsed="false">
      <c r="A139" s="14" t="s">
        <v>40</v>
      </c>
      <c r="B139" s="15" t="s">
        <v>141</v>
      </c>
      <c r="C139" s="15"/>
      <c r="D139" s="15"/>
      <c r="E139" s="15"/>
      <c r="F139" s="15"/>
      <c r="G139" s="15"/>
      <c r="H139" s="15"/>
      <c r="I139" s="314" t="n">
        <f aca="false">I124</f>
        <v>1874.84</v>
      </c>
    </row>
    <row r="140" customFormat="false" ht="15.75" hidden="false" customHeight="false" outlineLevel="0" collapsed="false">
      <c r="A140" s="143" t="s">
        <v>142</v>
      </c>
      <c r="B140" s="143"/>
      <c r="C140" s="143"/>
      <c r="D140" s="143"/>
      <c r="E140" s="143"/>
      <c r="F140" s="143"/>
      <c r="G140" s="143"/>
      <c r="H140" s="143"/>
      <c r="I140" s="317" t="n">
        <f aca="false">SUM(I138+I139)</f>
        <v>7605.27225</v>
      </c>
    </row>
    <row r="141" customFormat="false" ht="15.75" hidden="false" customHeight="false" outlineLevel="0" collapsed="false">
      <c r="A141" s="301"/>
      <c r="B141" s="301"/>
      <c r="C141" s="301"/>
      <c r="D141" s="301"/>
      <c r="E141" s="301"/>
      <c r="F141" s="301"/>
      <c r="G141" s="301"/>
      <c r="H141" s="301"/>
      <c r="I141" s="301"/>
    </row>
    <row r="142" customFormat="false" ht="15.75" hidden="false" customHeight="false" outlineLevel="0" collapsed="false">
      <c r="A142" s="33" t="s">
        <v>143</v>
      </c>
      <c r="B142" s="33"/>
      <c r="C142" s="33"/>
      <c r="D142" s="33"/>
      <c r="E142" s="33"/>
      <c r="F142" s="33"/>
      <c r="G142" s="33"/>
      <c r="H142" s="33"/>
      <c r="I142" s="33"/>
    </row>
    <row r="143" customFormat="false" ht="15.75" hidden="false" customHeight="false" outlineLevel="0" collapsed="false">
      <c r="A143" s="146" t="s">
        <v>144</v>
      </c>
      <c r="B143" s="146"/>
      <c r="C143" s="146"/>
      <c r="D143" s="146"/>
      <c r="E143" s="146"/>
      <c r="F143" s="146"/>
      <c r="G143" s="146"/>
      <c r="H143" s="146"/>
      <c r="I143" s="146"/>
    </row>
    <row r="144" customFormat="false" ht="47.25" hidden="false" customHeight="true" outlineLevel="0" collapsed="false">
      <c r="A144" s="147" t="s">
        <v>145</v>
      </c>
      <c r="B144" s="147"/>
      <c r="C144" s="148" t="s">
        <v>146</v>
      </c>
      <c r="D144" s="148"/>
      <c r="E144" s="149" t="s">
        <v>147</v>
      </c>
      <c r="F144" s="148" t="s">
        <v>148</v>
      </c>
      <c r="G144" s="148"/>
      <c r="H144" s="148" t="s">
        <v>149</v>
      </c>
      <c r="I144" s="247" t="s">
        <v>150</v>
      </c>
    </row>
    <row r="145" customFormat="false" ht="30.75" hidden="false" customHeight="true" outlineLevel="0" collapsed="false">
      <c r="A145" s="151" t="s">
        <v>26</v>
      </c>
      <c r="B145" s="151"/>
      <c r="C145" s="152" t="n">
        <f aca="false">I140</f>
        <v>7605.27225</v>
      </c>
      <c r="D145" s="152"/>
      <c r="E145" s="153" t="n">
        <v>2</v>
      </c>
      <c r="F145" s="154" t="n">
        <f aca="false">C145</f>
        <v>7605.27225</v>
      </c>
      <c r="G145" s="154"/>
      <c r="H145" s="155" t="n">
        <v>1</v>
      </c>
      <c r="I145" s="253" t="n">
        <f aca="false">F145*H145</f>
        <v>7605.27225</v>
      </c>
    </row>
    <row r="146" customFormat="false" ht="15.75" hidden="false" customHeight="false" outlineLevel="0" collapsed="false">
      <c r="A146" s="301"/>
      <c r="B146" s="301"/>
      <c r="C146" s="301"/>
      <c r="D146" s="301"/>
      <c r="E146" s="301"/>
      <c r="F146" s="301"/>
      <c r="G146" s="301"/>
      <c r="H146" s="301"/>
      <c r="I146" s="301"/>
    </row>
    <row r="147" customFormat="false" ht="15.75" hidden="false" customHeight="false" outlineLevel="0" collapsed="false">
      <c r="A147" s="33" t="s">
        <v>151</v>
      </c>
      <c r="B147" s="33"/>
      <c r="C147" s="33"/>
      <c r="D147" s="33"/>
      <c r="E147" s="33"/>
      <c r="F147" s="33"/>
      <c r="G147" s="33"/>
      <c r="H147" s="33"/>
      <c r="I147" s="33"/>
    </row>
    <row r="148" customFormat="false" ht="15.75" hidden="false" customHeight="false" outlineLevel="0" collapsed="false">
      <c r="A148" s="146" t="s">
        <v>152</v>
      </c>
      <c r="B148" s="146"/>
      <c r="C148" s="146"/>
      <c r="D148" s="146"/>
      <c r="E148" s="146"/>
      <c r="F148" s="146"/>
      <c r="G148" s="146"/>
      <c r="H148" s="146"/>
      <c r="I148" s="146"/>
    </row>
    <row r="149" customFormat="false" ht="15.75" hidden="false" customHeight="false" outlineLevel="0" collapsed="false">
      <c r="A149" s="157" t="s">
        <v>153</v>
      </c>
      <c r="B149" s="157"/>
      <c r="C149" s="157"/>
      <c r="D149" s="157"/>
      <c r="E149" s="157"/>
      <c r="F149" s="157"/>
      <c r="G149" s="157"/>
      <c r="H149" s="157"/>
      <c r="I149" s="157"/>
    </row>
    <row r="150" customFormat="false" ht="15.75" hidden="false" customHeight="false" outlineLevel="0" collapsed="false">
      <c r="A150" s="158" t="s">
        <v>8</v>
      </c>
      <c r="B150" s="15" t="s">
        <v>154</v>
      </c>
      <c r="C150" s="15"/>
      <c r="D150" s="15"/>
      <c r="E150" s="15"/>
      <c r="F150" s="15"/>
      <c r="G150" s="15"/>
      <c r="H150" s="15"/>
      <c r="I150" s="318" t="n">
        <f aca="false">F145</f>
        <v>7605.27225</v>
      </c>
    </row>
    <row r="151" customFormat="false" ht="15.75" hidden="false" customHeight="false" outlineLevel="0" collapsed="false">
      <c r="A151" s="158" t="s">
        <v>10</v>
      </c>
      <c r="B151" s="15" t="s">
        <v>155</v>
      </c>
      <c r="C151" s="15"/>
      <c r="D151" s="15"/>
      <c r="E151" s="15"/>
      <c r="F151" s="15"/>
      <c r="G151" s="15"/>
      <c r="H151" s="15"/>
      <c r="I151" s="319" t="n">
        <f aca="false">I145</f>
        <v>7605.27225</v>
      </c>
    </row>
    <row r="152" customFormat="false" ht="16.5" hidden="false" customHeight="true" outlineLevel="0" collapsed="false">
      <c r="A152" s="161" t="s">
        <v>12</v>
      </c>
      <c r="B152" s="162" t="s">
        <v>156</v>
      </c>
      <c r="C152" s="162"/>
      <c r="D152" s="162"/>
      <c r="E152" s="162"/>
      <c r="F152" s="162"/>
      <c r="G152" s="162"/>
      <c r="H152" s="162"/>
      <c r="I152" s="320" t="n">
        <f aca="false">I151*12</f>
        <v>91263.267</v>
      </c>
    </row>
  </sheetData>
  <mergeCells count="157">
    <mergeCell ref="A8:I8"/>
    <mergeCell ref="A9:I9"/>
    <mergeCell ref="A10:I10"/>
    <mergeCell ref="A11:I11"/>
    <mergeCell ref="A12:I12"/>
    <mergeCell ref="A13:I13"/>
    <mergeCell ref="A14:I14"/>
    <mergeCell ref="B15:H15"/>
    <mergeCell ref="B16:H16"/>
    <mergeCell ref="B17:H17"/>
    <mergeCell ref="B18:H18"/>
    <mergeCell ref="A19:I19"/>
    <mergeCell ref="A20:D20"/>
    <mergeCell ref="E20:F20"/>
    <mergeCell ref="G20:I20"/>
    <mergeCell ref="A21:D21"/>
    <mergeCell ref="E21:F22"/>
    <mergeCell ref="G21:I22"/>
    <mergeCell ref="A22:D22"/>
    <mergeCell ref="B23:I23"/>
    <mergeCell ref="A24:I24"/>
    <mergeCell ref="A25:I25"/>
    <mergeCell ref="A26:I26"/>
    <mergeCell ref="B27:H27"/>
    <mergeCell ref="B28:H28"/>
    <mergeCell ref="B29:H29"/>
    <mergeCell ref="B30:H30"/>
    <mergeCell ref="B31:H31"/>
    <mergeCell ref="B32:H32"/>
    <mergeCell ref="B33:H33"/>
    <mergeCell ref="A34:I34"/>
    <mergeCell ref="A35:I35"/>
    <mergeCell ref="B36:H36"/>
    <mergeCell ref="B37:H37"/>
    <mergeCell ref="B38:H38"/>
    <mergeCell ref="B39:H39"/>
    <mergeCell ref="B40:H40"/>
    <mergeCell ref="B41:H41"/>
    <mergeCell ref="A42:H42"/>
    <mergeCell ref="A43:I43"/>
    <mergeCell ref="B44:H44"/>
    <mergeCell ref="A45:A47"/>
    <mergeCell ref="B45:H45"/>
    <mergeCell ref="B46:G46"/>
    <mergeCell ref="B47:G47"/>
    <mergeCell ref="A48:A49"/>
    <mergeCell ref="B48:H48"/>
    <mergeCell ref="B49:G49"/>
    <mergeCell ref="B50:H50"/>
    <mergeCell ref="A51:H51"/>
    <mergeCell ref="A52:I52"/>
    <mergeCell ref="A53:I53"/>
    <mergeCell ref="B54:H54"/>
    <mergeCell ref="B55:H55"/>
    <mergeCell ref="A56:H56"/>
    <mergeCell ref="A57:I57"/>
    <mergeCell ref="A58:I58"/>
    <mergeCell ref="B59:G59"/>
    <mergeCell ref="B60:G60"/>
    <mergeCell ref="B61:G61"/>
    <mergeCell ref="B62:G62"/>
    <mergeCell ref="B63:G63"/>
    <mergeCell ref="B64:G64"/>
    <mergeCell ref="B65:G65"/>
    <mergeCell ref="B66:E66"/>
    <mergeCell ref="B67:G67"/>
    <mergeCell ref="A68:G68"/>
    <mergeCell ref="A69:I69"/>
    <mergeCell ref="A70:I70"/>
    <mergeCell ref="A71:I71"/>
    <mergeCell ref="B72:H72"/>
    <mergeCell ref="B73:H73"/>
    <mergeCell ref="A74:H74"/>
    <mergeCell ref="B75:H75"/>
    <mergeCell ref="A76:H76"/>
    <mergeCell ref="A77:I77"/>
    <mergeCell ref="B78:H78"/>
    <mergeCell ref="B79:H79"/>
    <mergeCell ref="B80:H80"/>
    <mergeCell ref="A81:H81"/>
    <mergeCell ref="A82:I82"/>
    <mergeCell ref="B83:H83"/>
    <mergeCell ref="B84:H84"/>
    <mergeCell ref="B85:H85"/>
    <mergeCell ref="B86:H86"/>
    <mergeCell ref="B87:H87"/>
    <mergeCell ref="B88:H88"/>
    <mergeCell ref="B89:H89"/>
    <mergeCell ref="A90:H90"/>
    <mergeCell ref="A91:I91"/>
    <mergeCell ref="B92:H92"/>
    <mergeCell ref="B93:H93"/>
    <mergeCell ref="B94:H94"/>
    <mergeCell ref="B95:H95"/>
    <mergeCell ref="B96:H96"/>
    <mergeCell ref="B97:H97"/>
    <mergeCell ref="A98:H98"/>
    <mergeCell ref="B99:H99"/>
    <mergeCell ref="A100:H100"/>
    <mergeCell ref="A101:I101"/>
    <mergeCell ref="B102:H102"/>
    <mergeCell ref="B103:H103"/>
    <mergeCell ref="B104:H104"/>
    <mergeCell ref="B105:H105"/>
    <mergeCell ref="B106:H106"/>
    <mergeCell ref="B107:H107"/>
    <mergeCell ref="A108:H108"/>
    <mergeCell ref="A109:I109"/>
    <mergeCell ref="B110:G110"/>
    <mergeCell ref="A111:G111"/>
    <mergeCell ref="B112:G112"/>
    <mergeCell ref="A113:G113"/>
    <mergeCell ref="B114:G114"/>
    <mergeCell ref="A115:G115"/>
    <mergeCell ref="A116:A123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A124:H124"/>
    <mergeCell ref="A125:G125"/>
    <mergeCell ref="A126:B127"/>
    <mergeCell ref="C126:I126"/>
    <mergeCell ref="C127:I127"/>
    <mergeCell ref="A128:I128"/>
    <mergeCell ref="A129:I129"/>
    <mergeCell ref="A130:I130"/>
    <mergeCell ref="A131:I131"/>
    <mergeCell ref="A132:I132"/>
    <mergeCell ref="A133:H133"/>
    <mergeCell ref="B134:H134"/>
    <mergeCell ref="B135:H135"/>
    <mergeCell ref="B136:H136"/>
    <mergeCell ref="B137:H137"/>
    <mergeCell ref="A138:H138"/>
    <mergeCell ref="B139:H139"/>
    <mergeCell ref="A140:H140"/>
    <mergeCell ref="A141:I141"/>
    <mergeCell ref="A142:I142"/>
    <mergeCell ref="A143:I143"/>
    <mergeCell ref="A144:B144"/>
    <mergeCell ref="C144:D144"/>
    <mergeCell ref="F144:G144"/>
    <mergeCell ref="A145:B145"/>
    <mergeCell ref="C145:D145"/>
    <mergeCell ref="F145:G145"/>
    <mergeCell ref="A146:I146"/>
    <mergeCell ref="A147:I147"/>
    <mergeCell ref="A148:I148"/>
    <mergeCell ref="A149:I149"/>
    <mergeCell ref="B150:H150"/>
    <mergeCell ref="B151:H151"/>
    <mergeCell ref="B152:H152"/>
  </mergeCells>
  <printOptions headings="false" gridLines="false" gridLinesSet="true" horizontalCentered="false" verticalCentered="false"/>
  <pageMargins left="0.698611111111111" right="0.698611111111111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6" man="true" max="16383" min="0"/>
    <brk id="108" man="true" max="16383" min="0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N153"/>
  <sheetViews>
    <sheetView showFormulas="false" showGridLines="true" showRowColHeaders="true" showZeros="true" rightToLeft="false" tabSelected="false" showOutlineSymbols="true" defaultGridColor="true" view="pageBreakPreview" topLeftCell="A139" colorId="64" zoomScale="76" zoomScaleNormal="100" zoomScalePageLayoutView="76" workbookViewId="0">
      <selection pane="topLeft" activeCell="I40" activeCellId="0" sqref="I40"/>
    </sheetView>
  </sheetViews>
  <sheetFormatPr defaultRowHeight="15" zeroHeight="false" outlineLevelRow="0" outlineLevelCol="0"/>
  <cols>
    <col collapsed="false" customWidth="true" hidden="false" outlineLevel="0" max="1" min="1" style="1" width="16"/>
    <col collapsed="false" customWidth="true" hidden="false" outlineLevel="0" max="2" min="2" style="1" width="15.71"/>
    <col collapsed="false" customWidth="true" hidden="false" outlineLevel="0" max="3" min="3" style="1" width="17.13"/>
    <col collapsed="false" customWidth="true" hidden="false" outlineLevel="0" max="4" min="4" style="1" width="15.88"/>
    <col collapsed="false" customWidth="true" hidden="false" outlineLevel="0" max="5" min="5" style="1" width="12.71"/>
    <col collapsed="false" customWidth="true" hidden="false" outlineLevel="0" max="6" min="6" style="1" width="16.87"/>
    <col collapsed="false" customWidth="true" hidden="false" outlineLevel="0" max="7" min="7" style="1" width="14.43"/>
    <col collapsed="false" customWidth="true" hidden="false" outlineLevel="0" max="8" min="8" style="1" width="10.99"/>
    <col collapsed="false" customWidth="true" hidden="false" outlineLevel="0" max="9" min="9" style="1" width="57.88"/>
    <col collapsed="false" customWidth="true" hidden="true" outlineLevel="0" max="11" min="10" style="1" width="9"/>
    <col collapsed="false" customWidth="true" hidden="false" outlineLevel="0" max="12" min="12" style="1" width="58.57"/>
    <col collapsed="false" customWidth="true" hidden="false" outlineLevel="0" max="1025" min="13" style="1" width="28.57"/>
  </cols>
  <sheetData>
    <row r="1" s="101" customFormat="true" ht="15.75" hidden="false" customHeight="false" outlineLevel="0" collapsed="false">
      <c r="A1" s="173" t="s">
        <v>178</v>
      </c>
      <c r="I1" s="209"/>
    </row>
    <row r="2" s="101" customFormat="true" ht="15.75" hidden="false" customHeight="false" outlineLevel="0" collapsed="false">
      <c r="A2" s="173" t="s">
        <v>179</v>
      </c>
      <c r="I2" s="209"/>
    </row>
    <row r="3" s="101" customFormat="true" ht="15.75" hidden="false" customHeight="false" outlineLevel="0" collapsed="false">
      <c r="A3" s="173" t="s">
        <v>180</v>
      </c>
      <c r="I3" s="209"/>
    </row>
    <row r="4" s="101" customFormat="true" ht="15.75" hidden="false" customHeight="false" outlineLevel="0" collapsed="false">
      <c r="A4" s="173" t="s">
        <v>181</v>
      </c>
      <c r="I4" s="209"/>
    </row>
    <row r="5" s="101" customFormat="true" ht="15.75" hidden="false" customHeight="false" outlineLevel="0" collapsed="false">
      <c r="A5" s="173" t="s">
        <v>182</v>
      </c>
      <c r="I5" s="209"/>
    </row>
    <row r="6" s="101" customFormat="true" ht="15.75" hidden="false" customHeight="false" outlineLevel="0" collapsed="false">
      <c r="A6" s="173" t="s">
        <v>183</v>
      </c>
      <c r="I6" s="209"/>
    </row>
    <row r="7" customFormat="false" ht="15.75" hidden="false" customHeight="false" outlineLevel="0" collapsed="false">
      <c r="A7" s="174" t="s">
        <v>184</v>
      </c>
      <c r="I7" s="171"/>
    </row>
    <row r="8" customFormat="false" ht="15.75" hidden="false" customHeight="false" outlineLevel="0" collapsed="false">
      <c r="A8" s="263" t="s">
        <v>1</v>
      </c>
      <c r="B8" s="263"/>
      <c r="C8" s="263"/>
      <c r="D8" s="263"/>
      <c r="E8" s="263"/>
      <c r="F8" s="263"/>
      <c r="G8" s="263"/>
      <c r="H8" s="263"/>
      <c r="I8" s="263"/>
    </row>
    <row r="9" customFormat="false" ht="15.75" hidden="false" customHeight="false" outlineLevel="0" collapsed="false">
      <c r="A9" s="4" t="s">
        <v>2</v>
      </c>
      <c r="B9" s="4"/>
      <c r="C9" s="4"/>
      <c r="D9" s="4"/>
      <c r="E9" s="4"/>
      <c r="F9" s="4"/>
      <c r="G9" s="4"/>
      <c r="H9" s="4"/>
      <c r="I9" s="4"/>
    </row>
    <row r="10" customFormat="false" ht="15.75" hidden="false" customHeight="false" outlineLevel="0" collapsed="false">
      <c r="A10" s="5" t="s">
        <v>3</v>
      </c>
      <c r="B10" s="5"/>
      <c r="C10" s="5"/>
      <c r="D10" s="5"/>
      <c r="E10" s="5"/>
      <c r="F10" s="5"/>
      <c r="G10" s="5"/>
      <c r="H10" s="5"/>
      <c r="I10" s="5"/>
    </row>
    <row r="11" customFormat="false" ht="15.75" hidden="false" customHeight="false" outlineLevel="0" collapsed="false">
      <c r="A11" s="6" t="s">
        <v>4</v>
      </c>
      <c r="B11" s="6"/>
      <c r="C11" s="6"/>
      <c r="D11" s="6"/>
      <c r="E11" s="6"/>
      <c r="F11" s="6"/>
      <c r="G11" s="6"/>
      <c r="H11" s="6"/>
      <c r="I11" s="6"/>
    </row>
    <row r="12" customFormat="false" ht="15.75" hidden="false" customHeight="false" outlineLevel="0" collapsed="false">
      <c r="A12" s="7" t="s">
        <v>5</v>
      </c>
      <c r="B12" s="7"/>
      <c r="C12" s="7"/>
      <c r="D12" s="7"/>
      <c r="E12" s="7"/>
      <c r="F12" s="7"/>
      <c r="G12" s="7"/>
      <c r="H12" s="7"/>
      <c r="I12" s="7"/>
    </row>
    <row r="13" customFormat="false" ht="15.75" hidden="false" customHeight="false" outlineLevel="0" collapsed="false">
      <c r="A13" s="8" t="s">
        <v>6</v>
      </c>
      <c r="B13" s="8"/>
      <c r="C13" s="8"/>
      <c r="D13" s="8"/>
      <c r="E13" s="8"/>
      <c r="F13" s="8"/>
      <c r="G13" s="8"/>
      <c r="H13" s="8"/>
      <c r="I13" s="8"/>
    </row>
    <row r="14" customFormat="false" ht="15.75" hidden="false" customHeight="false" outlineLevel="0" collapsed="false">
      <c r="A14" s="179" t="s">
        <v>7</v>
      </c>
      <c r="B14" s="179"/>
      <c r="C14" s="179"/>
      <c r="D14" s="179"/>
      <c r="E14" s="179"/>
      <c r="F14" s="179"/>
      <c r="G14" s="179"/>
      <c r="H14" s="179"/>
      <c r="I14" s="179"/>
    </row>
    <row r="15" customFormat="false" ht="15.75" hidden="false" customHeight="false" outlineLevel="0" collapsed="false">
      <c r="A15" s="10" t="s">
        <v>8</v>
      </c>
      <c r="B15" s="11" t="s">
        <v>9</v>
      </c>
      <c r="C15" s="11"/>
      <c r="D15" s="11"/>
      <c r="E15" s="11"/>
      <c r="F15" s="11"/>
      <c r="G15" s="11"/>
      <c r="H15" s="11"/>
      <c r="I15" s="307"/>
      <c r="L15" s="13"/>
    </row>
    <row r="16" customFormat="false" ht="15.75" hidden="false" customHeight="false" outlineLevel="0" collapsed="false">
      <c r="A16" s="14" t="s">
        <v>10</v>
      </c>
      <c r="B16" s="15" t="s">
        <v>11</v>
      </c>
      <c r="C16" s="15"/>
      <c r="D16" s="15"/>
      <c r="E16" s="15"/>
      <c r="F16" s="15"/>
      <c r="G16" s="15"/>
      <c r="H16" s="15"/>
      <c r="I16" s="308" t="s">
        <v>223</v>
      </c>
      <c r="L16" s="13"/>
    </row>
    <row r="17" customFormat="false" ht="47.25" hidden="false" customHeight="true" outlineLevel="0" collapsed="false">
      <c r="A17" s="17" t="s">
        <v>12</v>
      </c>
      <c r="B17" s="18" t="s">
        <v>13</v>
      </c>
      <c r="C17" s="18"/>
      <c r="D17" s="18"/>
      <c r="E17" s="18"/>
      <c r="F17" s="18"/>
      <c r="G17" s="18"/>
      <c r="H17" s="18"/>
      <c r="I17" s="37" t="s">
        <v>186</v>
      </c>
      <c r="L17" s="13"/>
    </row>
    <row r="18" customFormat="false" ht="15.75" hidden="false" customHeight="false" outlineLevel="0" collapsed="false">
      <c r="A18" s="20" t="s">
        <v>14</v>
      </c>
      <c r="B18" s="21" t="s">
        <v>15</v>
      </c>
      <c r="C18" s="21"/>
      <c r="D18" s="21"/>
      <c r="E18" s="21"/>
      <c r="F18" s="21"/>
      <c r="G18" s="21"/>
      <c r="H18" s="21"/>
      <c r="I18" s="309" t="n">
        <v>12</v>
      </c>
    </row>
    <row r="19" customFormat="false" ht="15.75" hidden="false" customHeight="false" outlineLevel="0" collapsed="false">
      <c r="A19" s="179" t="s">
        <v>16</v>
      </c>
      <c r="B19" s="179"/>
      <c r="C19" s="179"/>
      <c r="D19" s="179"/>
      <c r="E19" s="179"/>
      <c r="F19" s="179"/>
      <c r="G19" s="179"/>
      <c r="H19" s="179"/>
      <c r="I19" s="179"/>
    </row>
    <row r="20" customFormat="false" ht="15.75" hidden="false" customHeight="false" outlineLevel="0" collapsed="false">
      <c r="A20" s="23" t="s">
        <v>17</v>
      </c>
      <c r="B20" s="23"/>
      <c r="C20" s="23"/>
      <c r="D20" s="23"/>
      <c r="E20" s="24" t="s">
        <v>18</v>
      </c>
      <c r="F20" s="24"/>
      <c r="G20" s="25" t="s">
        <v>19</v>
      </c>
      <c r="H20" s="25"/>
      <c r="I20" s="25"/>
    </row>
    <row r="21" customFormat="false" ht="15.75" hidden="false" customHeight="true" outlineLevel="0" collapsed="false">
      <c r="A21" s="26" t="s">
        <v>20</v>
      </c>
      <c r="B21" s="26"/>
      <c r="C21" s="26"/>
      <c r="D21" s="26"/>
      <c r="E21" s="27" t="s">
        <v>21</v>
      </c>
      <c r="F21" s="27"/>
      <c r="G21" s="328" t="n">
        <v>1</v>
      </c>
      <c r="H21" s="328"/>
      <c r="I21" s="328"/>
    </row>
    <row r="22" customFormat="false" ht="32.25" hidden="false" customHeight="true" outlineLevel="0" collapsed="false">
      <c r="A22" s="268" t="s">
        <v>217</v>
      </c>
      <c r="B22" s="268"/>
      <c r="C22" s="268"/>
      <c r="D22" s="268"/>
      <c r="E22" s="27"/>
      <c r="F22" s="27"/>
      <c r="G22" s="328"/>
      <c r="H22" s="328"/>
      <c r="I22" s="328"/>
      <c r="L22" s="30"/>
    </row>
    <row r="23" customFormat="false" ht="15.75" hidden="false" customHeight="false" outlineLevel="0" collapsed="false">
      <c r="A23" s="31"/>
      <c r="B23" s="269"/>
      <c r="C23" s="269"/>
      <c r="D23" s="269"/>
      <c r="E23" s="269"/>
      <c r="F23" s="269"/>
      <c r="G23" s="269"/>
      <c r="H23" s="269"/>
      <c r="I23" s="269"/>
    </row>
    <row r="24" customFormat="false" ht="15.75" hidden="false" customHeight="false" outlineLevel="0" collapsed="false">
      <c r="A24" s="33" t="s">
        <v>22</v>
      </c>
      <c r="B24" s="33"/>
      <c r="C24" s="33"/>
      <c r="D24" s="33"/>
      <c r="E24" s="33"/>
      <c r="F24" s="33"/>
      <c r="G24" s="33"/>
      <c r="H24" s="33"/>
      <c r="I24" s="33"/>
    </row>
    <row r="25" customFormat="false" ht="15.75" hidden="false" customHeight="false" outlineLevel="0" collapsed="false">
      <c r="A25" s="34" t="s">
        <v>23</v>
      </c>
      <c r="B25" s="34"/>
      <c r="C25" s="34"/>
      <c r="D25" s="34"/>
      <c r="E25" s="34"/>
      <c r="F25" s="34"/>
      <c r="G25" s="34"/>
      <c r="H25" s="34"/>
      <c r="I25" s="34"/>
    </row>
    <row r="26" customFormat="false" ht="15.75" hidden="false" customHeight="false" outlineLevel="0" collapsed="false">
      <c r="A26" s="35" t="s">
        <v>24</v>
      </c>
      <c r="B26" s="35"/>
      <c r="C26" s="35"/>
      <c r="D26" s="35"/>
      <c r="E26" s="35"/>
      <c r="F26" s="35"/>
      <c r="G26" s="35"/>
      <c r="H26" s="35"/>
      <c r="I26" s="35"/>
    </row>
    <row r="27" customFormat="false" ht="15.75" hidden="false" customHeight="true" outlineLevel="0" collapsed="false">
      <c r="A27" s="14" t="n">
        <v>1</v>
      </c>
      <c r="B27" s="36" t="s">
        <v>25</v>
      </c>
      <c r="C27" s="36"/>
      <c r="D27" s="36"/>
      <c r="E27" s="36"/>
      <c r="F27" s="36"/>
      <c r="G27" s="36"/>
      <c r="H27" s="36"/>
      <c r="I27" s="37" t="s">
        <v>26</v>
      </c>
    </row>
    <row r="28" customFormat="false" ht="15.75" hidden="false" customHeight="true" outlineLevel="0" collapsed="false">
      <c r="A28" s="14" t="n">
        <v>2</v>
      </c>
      <c r="B28" s="38" t="s">
        <v>27</v>
      </c>
      <c r="C28" s="38"/>
      <c r="D28" s="38"/>
      <c r="E28" s="38"/>
      <c r="F28" s="38"/>
      <c r="G28" s="38"/>
      <c r="H28" s="38"/>
      <c r="I28" s="308" t="n">
        <f aca="false">Dados!B2</f>
        <v>1305.17</v>
      </c>
    </row>
    <row r="29" customFormat="false" ht="15.75" hidden="false" customHeight="true" outlineLevel="0" collapsed="false">
      <c r="A29" s="14" t="n">
        <v>3</v>
      </c>
      <c r="B29" s="38" t="s">
        <v>28</v>
      </c>
      <c r="C29" s="38"/>
      <c r="D29" s="38"/>
      <c r="E29" s="38"/>
      <c r="F29" s="38"/>
      <c r="G29" s="38"/>
      <c r="H29" s="38"/>
      <c r="I29" s="308" t="s">
        <v>188</v>
      </c>
    </row>
    <row r="30" customFormat="false" ht="15.75" hidden="false" customHeight="true" outlineLevel="0" collapsed="false">
      <c r="A30" s="40" t="n">
        <v>4</v>
      </c>
      <c r="B30" s="329" t="s">
        <v>29</v>
      </c>
      <c r="C30" s="329"/>
      <c r="D30" s="329"/>
      <c r="E30" s="329"/>
      <c r="F30" s="329"/>
      <c r="G30" s="329"/>
      <c r="H30" s="329"/>
      <c r="I30" s="311" t="n">
        <v>42005</v>
      </c>
    </row>
    <row r="31" customFormat="false" ht="15.75" hidden="false" customHeight="true" outlineLevel="0" collapsed="false">
      <c r="A31" s="40" t="n">
        <v>5</v>
      </c>
      <c r="B31" s="38" t="s">
        <v>30</v>
      </c>
      <c r="C31" s="38"/>
      <c r="D31" s="38"/>
      <c r="E31" s="38"/>
      <c r="F31" s="38"/>
      <c r="G31" s="38"/>
      <c r="H31" s="38"/>
      <c r="I31" s="311" t="n">
        <f aca="false">I28/220</f>
        <v>5.93259090909091</v>
      </c>
    </row>
    <row r="32" customFormat="false" ht="15.75" hidden="false" customHeight="true" outlineLevel="0" collapsed="false">
      <c r="A32" s="40" t="n">
        <v>6</v>
      </c>
      <c r="B32" s="38" t="s">
        <v>31</v>
      </c>
      <c r="C32" s="38"/>
      <c r="D32" s="38"/>
      <c r="E32" s="38"/>
      <c r="F32" s="38"/>
      <c r="G32" s="38"/>
      <c r="H32" s="38"/>
      <c r="I32" s="330" t="n">
        <f aca="false">I31*1.5</f>
        <v>8.89888636363636</v>
      </c>
    </row>
    <row r="33" customFormat="false" ht="16.5" hidden="false" customHeight="true" outlineLevel="0" collapsed="false">
      <c r="A33" s="20" t="n">
        <v>7</v>
      </c>
      <c r="B33" s="44" t="s">
        <v>32</v>
      </c>
      <c r="C33" s="44"/>
      <c r="D33" s="44"/>
      <c r="E33" s="44"/>
      <c r="F33" s="44"/>
      <c r="G33" s="44"/>
      <c r="H33" s="44"/>
      <c r="I33" s="331" t="n">
        <f aca="false">I31*0.2</f>
        <v>1.18651818181818</v>
      </c>
    </row>
    <row r="34" customFormat="false" ht="15.75" hidden="false" customHeight="false" outlineLevel="0" collapsed="false">
      <c r="A34" s="271"/>
      <c r="B34" s="271"/>
      <c r="C34" s="271"/>
      <c r="D34" s="271"/>
      <c r="E34" s="271"/>
      <c r="F34" s="271"/>
      <c r="G34" s="271"/>
      <c r="H34" s="271"/>
      <c r="I34" s="271"/>
    </row>
    <row r="35" customFormat="false" ht="15.75" hidden="false" customHeight="false" outlineLevel="0" collapsed="false">
      <c r="A35" s="47" t="s">
        <v>33</v>
      </c>
      <c r="B35" s="47"/>
      <c r="C35" s="47"/>
      <c r="D35" s="47"/>
      <c r="E35" s="47"/>
      <c r="F35" s="47"/>
      <c r="G35" s="47"/>
      <c r="H35" s="47"/>
      <c r="I35" s="47"/>
    </row>
    <row r="36" customFormat="false" ht="15.75" hidden="false" customHeight="false" outlineLevel="0" collapsed="false">
      <c r="A36" s="48" t="n">
        <v>1</v>
      </c>
      <c r="B36" s="49" t="s">
        <v>34</v>
      </c>
      <c r="C36" s="49"/>
      <c r="D36" s="49"/>
      <c r="E36" s="49"/>
      <c r="F36" s="49"/>
      <c r="G36" s="49"/>
      <c r="H36" s="49"/>
      <c r="I36" s="204" t="s">
        <v>35</v>
      </c>
      <c r="L36" s="51"/>
    </row>
    <row r="37" customFormat="false" ht="15.75" hidden="false" customHeight="false" outlineLevel="0" collapsed="false">
      <c r="A37" s="17" t="s">
        <v>8</v>
      </c>
      <c r="B37" s="52" t="s">
        <v>36</v>
      </c>
      <c r="C37" s="52"/>
      <c r="D37" s="52"/>
      <c r="E37" s="52"/>
      <c r="F37" s="52"/>
      <c r="G37" s="52"/>
      <c r="H37" s="52"/>
      <c r="I37" s="207" t="n">
        <f aca="false">ROUND(I28*2,2)</f>
        <v>2610.34</v>
      </c>
      <c r="L37" s="51"/>
    </row>
    <row r="38" customFormat="false" ht="30.75" hidden="false" customHeight="true" outlineLevel="0" collapsed="false">
      <c r="A38" s="17" t="s">
        <v>10</v>
      </c>
      <c r="B38" s="54" t="s">
        <v>218</v>
      </c>
      <c r="C38" s="54"/>
      <c r="D38" s="54"/>
      <c r="E38" s="54"/>
      <c r="F38" s="54"/>
      <c r="G38" s="54"/>
      <c r="H38" s="54"/>
      <c r="I38" s="207" t="n">
        <f aca="false">ROUND((I32*21*2)+(I32*5*2*(15/60)),2)</f>
        <v>396</v>
      </c>
      <c r="L38" s="55"/>
    </row>
    <row r="39" customFormat="false" ht="30" hidden="false" customHeight="true" outlineLevel="0" collapsed="false">
      <c r="A39" s="17" t="s">
        <v>12</v>
      </c>
      <c r="B39" s="54" t="s">
        <v>231</v>
      </c>
      <c r="C39" s="54"/>
      <c r="D39" s="54"/>
      <c r="E39" s="54"/>
      <c r="F39" s="54"/>
      <c r="G39" s="54"/>
      <c r="H39" s="54"/>
      <c r="I39" s="207" t="n">
        <f aca="false">ROUND(I33*1*(60/52.5)*21,2)</f>
        <v>28.48</v>
      </c>
      <c r="L39" s="55"/>
    </row>
    <row r="40" customFormat="false" ht="30" hidden="false" customHeight="true" outlineLevel="0" collapsed="false">
      <c r="A40" s="17" t="s">
        <v>14</v>
      </c>
      <c r="B40" s="54" t="s">
        <v>205</v>
      </c>
      <c r="C40" s="54"/>
      <c r="D40" s="54"/>
      <c r="E40" s="54"/>
      <c r="F40" s="54"/>
      <c r="G40" s="54"/>
      <c r="H40" s="54"/>
      <c r="I40" s="211" t="n">
        <f aca="false">ROUND(I32*21*(60/52.5-1),2)</f>
        <v>26.7</v>
      </c>
      <c r="L40" s="55"/>
    </row>
    <row r="41" customFormat="false" ht="15.75" hidden="false" customHeight="false" outlineLevel="0" collapsed="false">
      <c r="A41" s="17" t="s">
        <v>40</v>
      </c>
      <c r="B41" s="52" t="s">
        <v>221</v>
      </c>
      <c r="C41" s="52"/>
      <c r="D41" s="52"/>
      <c r="E41" s="52"/>
      <c r="F41" s="52"/>
      <c r="G41" s="52"/>
      <c r="H41" s="52"/>
      <c r="I41" s="207" t="n">
        <f aca="false">ROUND(I32*2*10,2)</f>
        <v>177.98</v>
      </c>
      <c r="L41" s="57"/>
    </row>
    <row r="42" customFormat="false" ht="21" hidden="false" customHeight="true" outlineLevel="0" collapsed="false">
      <c r="A42" s="274" t="s">
        <v>42</v>
      </c>
      <c r="B42" s="58" t="s">
        <v>43</v>
      </c>
      <c r="C42" s="58"/>
      <c r="D42" s="58"/>
      <c r="E42" s="58"/>
      <c r="F42" s="58"/>
      <c r="G42" s="58"/>
      <c r="H42" s="58"/>
      <c r="I42" s="207" t="n">
        <f aca="false">SUM(I38:I41)*0.2</f>
        <v>125.832</v>
      </c>
      <c r="K42" s="59"/>
    </row>
    <row r="43" customFormat="false" ht="15.75" hidden="false" customHeight="false" outlineLevel="0" collapsed="false">
      <c r="A43" s="60" t="s">
        <v>44</v>
      </c>
      <c r="B43" s="60"/>
      <c r="C43" s="60"/>
      <c r="D43" s="60"/>
      <c r="E43" s="60"/>
      <c r="F43" s="60"/>
      <c r="G43" s="60"/>
      <c r="H43" s="60"/>
      <c r="I43" s="210" t="n">
        <f aca="false">SUM(I37:I42)</f>
        <v>3365.332</v>
      </c>
    </row>
    <row r="44" customFormat="false" ht="15.75" hidden="false" customHeight="false" outlineLevel="0" collapsed="false">
      <c r="A44" s="47" t="s">
        <v>45</v>
      </c>
      <c r="B44" s="47"/>
      <c r="C44" s="47"/>
      <c r="D44" s="47"/>
      <c r="E44" s="47"/>
      <c r="F44" s="47"/>
      <c r="G44" s="47"/>
      <c r="H44" s="47"/>
      <c r="I44" s="47"/>
    </row>
    <row r="45" customFormat="false" ht="15.75" hidden="false" customHeight="false" outlineLevel="0" collapsed="false">
      <c r="A45" s="62" t="n">
        <v>2</v>
      </c>
      <c r="B45" s="63" t="s">
        <v>46</v>
      </c>
      <c r="C45" s="63"/>
      <c r="D45" s="63"/>
      <c r="E45" s="63"/>
      <c r="F45" s="63"/>
      <c r="G45" s="63"/>
      <c r="H45" s="63"/>
      <c r="I45" s="204" t="s">
        <v>35</v>
      </c>
    </row>
    <row r="46" customFormat="false" ht="15.75" hidden="false" customHeight="true" outlineLevel="0" collapsed="false">
      <c r="A46" s="64" t="s">
        <v>8</v>
      </c>
      <c r="B46" s="54" t="s">
        <v>206</v>
      </c>
      <c r="C46" s="54"/>
      <c r="D46" s="54"/>
      <c r="E46" s="54"/>
      <c r="F46" s="54"/>
      <c r="G46" s="54"/>
      <c r="H46" s="54"/>
      <c r="I46" s="312" t="n">
        <f aca="false">ROUND((2*H48*H47*26)-(0.06*I37),2)</f>
        <v>222.98</v>
      </c>
      <c r="L46" s="66"/>
    </row>
    <row r="47" customFormat="false" ht="32.25" hidden="false" customHeight="true" outlineLevel="0" collapsed="false">
      <c r="A47" s="64"/>
      <c r="B47" s="277" t="s">
        <v>232</v>
      </c>
      <c r="C47" s="277"/>
      <c r="D47" s="277"/>
      <c r="E47" s="277"/>
      <c r="F47" s="277"/>
      <c r="G47" s="277"/>
      <c r="H47" s="278" t="n">
        <f aca="false">Dados!B10</f>
        <v>3.65</v>
      </c>
      <c r="I47" s="312"/>
    </row>
    <row r="48" customFormat="false" ht="15.75" hidden="false" customHeight="false" outlineLevel="0" collapsed="false">
      <c r="A48" s="64"/>
      <c r="B48" s="69" t="s">
        <v>49</v>
      </c>
      <c r="C48" s="69"/>
      <c r="D48" s="69"/>
      <c r="E48" s="69"/>
      <c r="F48" s="69"/>
      <c r="G48" s="69"/>
      <c r="H48" s="70" t="n">
        <v>2</v>
      </c>
      <c r="I48" s="312"/>
    </row>
    <row r="49" customFormat="false" ht="15.75" hidden="false" customHeight="true" outlineLevel="0" collapsed="false">
      <c r="A49" s="64" t="s">
        <v>10</v>
      </c>
      <c r="B49" s="54" t="s">
        <v>50</v>
      </c>
      <c r="C49" s="54"/>
      <c r="D49" s="54"/>
      <c r="E49" s="54"/>
      <c r="F49" s="54"/>
      <c r="G49" s="54"/>
      <c r="H49" s="54"/>
      <c r="I49" s="312" t="n">
        <f aca="false">ROUND(((2*21*H50)+(2*5*Dados!B4))*(1-0.18),2)</f>
        <v>644.73</v>
      </c>
    </row>
    <row r="50" customFormat="false" ht="15.75" hidden="false" customHeight="false" outlineLevel="0" collapsed="false">
      <c r="A50" s="64"/>
      <c r="B50" s="69" t="s">
        <v>51</v>
      </c>
      <c r="C50" s="69"/>
      <c r="D50" s="69"/>
      <c r="E50" s="69"/>
      <c r="F50" s="69"/>
      <c r="G50" s="69"/>
      <c r="H50" s="280" t="n">
        <f aca="false">Dados!B3</f>
        <v>16.73</v>
      </c>
      <c r="I50" s="223"/>
    </row>
    <row r="51" customFormat="false" ht="29.25" hidden="false" customHeight="true" outlineLevel="0" collapsed="false">
      <c r="A51" s="17" t="s">
        <v>12</v>
      </c>
      <c r="B51" s="58" t="s">
        <v>194</v>
      </c>
      <c r="C51" s="58"/>
      <c r="D51" s="58"/>
      <c r="E51" s="58"/>
      <c r="F51" s="58"/>
      <c r="G51" s="58"/>
      <c r="H51" s="58"/>
      <c r="I51" s="312" t="n">
        <f aca="false">ROUND(Dados!B5*2,2)</f>
        <v>30.04</v>
      </c>
    </row>
    <row r="52" customFormat="false" ht="15.75" hidden="false" customHeight="false" outlineLevel="0" collapsed="false">
      <c r="A52" s="60" t="s">
        <v>53</v>
      </c>
      <c r="B52" s="60"/>
      <c r="C52" s="60"/>
      <c r="D52" s="60"/>
      <c r="E52" s="60"/>
      <c r="F52" s="60"/>
      <c r="G52" s="60"/>
      <c r="H52" s="60"/>
      <c r="I52" s="210" t="n">
        <f aca="false">SUM(I46:I51)</f>
        <v>897.75</v>
      </c>
    </row>
    <row r="53" customFormat="false" ht="15.75" hidden="false" customHeight="false" outlineLevel="0" collapsed="false">
      <c r="A53" s="73" t="s">
        <v>54</v>
      </c>
      <c r="B53" s="73"/>
      <c r="C53" s="73"/>
      <c r="D53" s="73"/>
      <c r="E53" s="73"/>
      <c r="F53" s="73"/>
      <c r="G53" s="73"/>
      <c r="H53" s="73"/>
      <c r="I53" s="73"/>
    </row>
    <row r="54" customFormat="false" ht="15.75" hidden="false" customHeight="false" outlineLevel="0" collapsed="false">
      <c r="A54" s="47" t="s">
        <v>55</v>
      </c>
      <c r="B54" s="47"/>
      <c r="C54" s="47"/>
      <c r="D54" s="47"/>
      <c r="E54" s="47"/>
      <c r="F54" s="47"/>
      <c r="G54" s="47"/>
      <c r="H54" s="47"/>
      <c r="I54" s="47"/>
    </row>
    <row r="55" customFormat="false" ht="15.75" hidden="false" customHeight="false" outlineLevel="0" collapsed="false">
      <c r="A55" s="62" t="n">
        <v>3</v>
      </c>
      <c r="B55" s="63" t="s">
        <v>56</v>
      </c>
      <c r="C55" s="63"/>
      <c r="D55" s="63"/>
      <c r="E55" s="63"/>
      <c r="F55" s="63"/>
      <c r="G55" s="63"/>
      <c r="H55" s="63"/>
      <c r="I55" s="204" t="s">
        <v>35</v>
      </c>
    </row>
    <row r="56" customFormat="false" ht="15.75" hidden="false" customHeight="false" outlineLevel="0" collapsed="false">
      <c r="A56" s="64" t="s">
        <v>8</v>
      </c>
      <c r="B56" s="74" t="s">
        <v>233</v>
      </c>
      <c r="C56" s="74"/>
      <c r="D56" s="74"/>
      <c r="E56" s="74"/>
      <c r="F56" s="74"/>
      <c r="G56" s="74"/>
      <c r="H56" s="74"/>
      <c r="I56" s="75" t="n">
        <f aca="false">Dados!D6*2</f>
        <v>137.67625</v>
      </c>
      <c r="J56" s="76"/>
      <c r="K56" s="77"/>
    </row>
    <row r="57" customFormat="false" ht="15.75" hidden="false" customHeight="false" outlineLevel="0" collapsed="false">
      <c r="A57" s="60" t="s">
        <v>58</v>
      </c>
      <c r="B57" s="60"/>
      <c r="C57" s="60"/>
      <c r="D57" s="60"/>
      <c r="E57" s="60"/>
      <c r="F57" s="60"/>
      <c r="G57" s="60"/>
      <c r="H57" s="60"/>
      <c r="I57" s="78" t="n">
        <f aca="false">SUM(I56:I56)</f>
        <v>137.67625</v>
      </c>
    </row>
    <row r="58" customFormat="false" ht="15.75" hidden="false" customHeight="false" outlineLevel="0" collapsed="false">
      <c r="A58" s="47" t="s">
        <v>59</v>
      </c>
      <c r="B58" s="47"/>
      <c r="C58" s="47"/>
      <c r="D58" s="47"/>
      <c r="E58" s="47"/>
      <c r="F58" s="47"/>
      <c r="G58" s="47"/>
      <c r="H58" s="47"/>
      <c r="I58" s="47"/>
    </row>
    <row r="59" customFormat="false" ht="15.75" hidden="false" customHeight="false" outlineLevel="0" collapsed="false">
      <c r="A59" s="79" t="s">
        <v>60</v>
      </c>
      <c r="B59" s="79"/>
      <c r="C59" s="79"/>
      <c r="D59" s="79"/>
      <c r="E59" s="79"/>
      <c r="F59" s="79"/>
      <c r="G59" s="79"/>
      <c r="H59" s="79"/>
      <c r="I59" s="79"/>
    </row>
    <row r="60" customFormat="false" ht="15.75" hidden="false" customHeight="false" outlineLevel="0" collapsed="false">
      <c r="A60" s="62" t="s">
        <v>61</v>
      </c>
      <c r="B60" s="80" t="s">
        <v>62</v>
      </c>
      <c r="C60" s="80"/>
      <c r="D60" s="80"/>
      <c r="E60" s="80"/>
      <c r="F60" s="80"/>
      <c r="G60" s="80"/>
      <c r="H60" s="81" t="s">
        <v>63</v>
      </c>
      <c r="I60" s="204" t="s">
        <v>35</v>
      </c>
    </row>
    <row r="61" customFormat="false" ht="15.75" hidden="false" customHeight="false" outlineLevel="0" collapsed="false">
      <c r="A61" s="82" t="s">
        <v>8</v>
      </c>
      <c r="B61" s="83" t="s">
        <v>64</v>
      </c>
      <c r="C61" s="83"/>
      <c r="D61" s="83"/>
      <c r="E61" s="83"/>
      <c r="F61" s="83"/>
      <c r="G61" s="83"/>
      <c r="H61" s="84" t="n">
        <v>0.2</v>
      </c>
      <c r="I61" s="207" t="n">
        <f aca="false">ROUND(($I$43-$I$38)*H61,2)</f>
        <v>593.87</v>
      </c>
      <c r="K61" s="66"/>
    </row>
    <row r="62" customFormat="false" ht="15.75" hidden="false" customHeight="false" outlineLevel="0" collapsed="false">
      <c r="A62" s="82" t="s">
        <v>10</v>
      </c>
      <c r="B62" s="83" t="s">
        <v>65</v>
      </c>
      <c r="C62" s="83"/>
      <c r="D62" s="83"/>
      <c r="E62" s="83"/>
      <c r="F62" s="83"/>
      <c r="G62" s="83"/>
      <c r="H62" s="85" t="n">
        <v>0.015</v>
      </c>
      <c r="I62" s="207" t="n">
        <f aca="false">ROUND(($I$43-$I$38)*H62,2)</f>
        <v>44.54</v>
      </c>
      <c r="K62" s="66"/>
    </row>
    <row r="63" customFormat="false" ht="15.75" hidden="false" customHeight="false" outlineLevel="0" collapsed="false">
      <c r="A63" s="82" t="s">
        <v>12</v>
      </c>
      <c r="B63" s="83" t="s">
        <v>66</v>
      </c>
      <c r="C63" s="83"/>
      <c r="D63" s="83"/>
      <c r="E63" s="83"/>
      <c r="F63" s="83"/>
      <c r="G63" s="83"/>
      <c r="H63" s="84" t="n">
        <v>0.01</v>
      </c>
      <c r="I63" s="207" t="n">
        <f aca="false">ROUND(($I$43-$I$38)*H63,2)</f>
        <v>29.69</v>
      </c>
      <c r="K63" s="66"/>
    </row>
    <row r="64" customFormat="false" ht="15.75" hidden="false" customHeight="false" outlineLevel="0" collapsed="false">
      <c r="A64" s="82" t="s">
        <v>14</v>
      </c>
      <c r="B64" s="83" t="s">
        <v>67</v>
      </c>
      <c r="C64" s="83"/>
      <c r="D64" s="83"/>
      <c r="E64" s="83"/>
      <c r="F64" s="83"/>
      <c r="G64" s="83"/>
      <c r="H64" s="86" t="n">
        <v>0.002</v>
      </c>
      <c r="I64" s="207" t="n">
        <f aca="false">ROUND(($I$43-$I$38)*H64,2)</f>
        <v>5.94</v>
      </c>
      <c r="K64" s="66"/>
    </row>
    <row r="65" customFormat="false" ht="15.75" hidden="false" customHeight="false" outlineLevel="0" collapsed="false">
      <c r="A65" s="82" t="s">
        <v>40</v>
      </c>
      <c r="B65" s="83" t="s">
        <v>68</v>
      </c>
      <c r="C65" s="83"/>
      <c r="D65" s="83"/>
      <c r="E65" s="83"/>
      <c r="F65" s="83"/>
      <c r="G65" s="83"/>
      <c r="H65" s="86" t="n">
        <v>0.025</v>
      </c>
      <c r="I65" s="207" t="n">
        <f aca="false">ROUND(($I$43-$I$38)*H65,2)</f>
        <v>74.23</v>
      </c>
      <c r="K65" s="66"/>
    </row>
    <row r="66" customFormat="false" ht="15.75" hidden="false" customHeight="false" outlineLevel="0" collapsed="false">
      <c r="A66" s="82" t="s">
        <v>42</v>
      </c>
      <c r="B66" s="83" t="s">
        <v>69</v>
      </c>
      <c r="C66" s="83"/>
      <c r="D66" s="83"/>
      <c r="E66" s="83"/>
      <c r="F66" s="83"/>
      <c r="G66" s="83"/>
      <c r="H66" s="84" t="n">
        <v>0.08</v>
      </c>
      <c r="I66" s="207" t="n">
        <f aca="false">ROUND(($I$43-$I$38)*H66,2)</f>
        <v>237.55</v>
      </c>
      <c r="K66" s="66"/>
    </row>
    <row r="67" customFormat="false" ht="15.75" hidden="false" customHeight="false" outlineLevel="0" collapsed="false">
      <c r="A67" s="82" t="s">
        <v>70</v>
      </c>
      <c r="B67" s="87" t="s">
        <v>71</v>
      </c>
      <c r="C67" s="87"/>
      <c r="D67" s="87"/>
      <c r="E67" s="87"/>
      <c r="F67" s="88" t="s">
        <v>72</v>
      </c>
      <c r="G67" s="89" t="s">
        <v>196</v>
      </c>
      <c r="H67" s="86" t="n">
        <v>0.015</v>
      </c>
      <c r="I67" s="207" t="n">
        <f aca="false">ROUND(($I$43-$I$38)*H67,2)</f>
        <v>44.54</v>
      </c>
      <c r="K67" s="66"/>
    </row>
    <row r="68" customFormat="false" ht="15.75" hidden="false" customHeight="false" outlineLevel="0" collapsed="false">
      <c r="A68" s="82" t="s">
        <v>74</v>
      </c>
      <c r="B68" s="83" t="s">
        <v>75</v>
      </c>
      <c r="C68" s="83"/>
      <c r="D68" s="83"/>
      <c r="E68" s="83"/>
      <c r="F68" s="83"/>
      <c r="G68" s="83"/>
      <c r="H68" s="86" t="n">
        <v>0.006</v>
      </c>
      <c r="I68" s="207" t="n">
        <f aca="false">ROUND(($I$43-$I$38)*H68,2)</f>
        <v>17.82</v>
      </c>
      <c r="K68" s="66"/>
    </row>
    <row r="69" customFormat="false" ht="15.75" hidden="false" customHeight="false" outlineLevel="0" collapsed="false">
      <c r="A69" s="90" t="s">
        <v>76</v>
      </c>
      <c r="B69" s="90"/>
      <c r="C69" s="90"/>
      <c r="D69" s="90"/>
      <c r="E69" s="90"/>
      <c r="F69" s="90"/>
      <c r="G69" s="90"/>
      <c r="H69" s="91" t="n">
        <f aca="false">SUM(H61:H68)</f>
        <v>0.353</v>
      </c>
      <c r="I69" s="219" t="n">
        <f aca="false">SUM(I61:I68)</f>
        <v>1048.18</v>
      </c>
      <c r="K69" s="66"/>
    </row>
    <row r="70" customFormat="false" ht="15.75" hidden="false" customHeight="false" outlineLevel="0" collapsed="false">
      <c r="A70" s="93" t="s">
        <v>77</v>
      </c>
      <c r="B70" s="93"/>
      <c r="C70" s="93"/>
      <c r="D70" s="93"/>
      <c r="E70" s="93"/>
      <c r="F70" s="93"/>
      <c r="G70" s="93"/>
      <c r="H70" s="93"/>
      <c r="I70" s="93"/>
    </row>
    <row r="71" customFormat="false" ht="15.75" hidden="false" customHeight="false" outlineLevel="0" collapsed="false">
      <c r="A71" s="94" t="s">
        <v>78</v>
      </c>
      <c r="B71" s="94"/>
      <c r="C71" s="94"/>
      <c r="D71" s="94"/>
      <c r="E71" s="94"/>
      <c r="F71" s="94"/>
      <c r="G71" s="94"/>
      <c r="H71" s="94"/>
      <c r="I71" s="94"/>
    </row>
    <row r="72" customFormat="false" ht="15.75" hidden="false" customHeight="false" outlineLevel="0" collapsed="false">
      <c r="A72" s="79" t="s">
        <v>79</v>
      </c>
      <c r="B72" s="79"/>
      <c r="C72" s="79"/>
      <c r="D72" s="79"/>
      <c r="E72" s="79"/>
      <c r="F72" s="79"/>
      <c r="G72" s="79"/>
      <c r="H72" s="79"/>
      <c r="I72" s="79"/>
    </row>
    <row r="73" customFormat="false" ht="15.75" hidden="false" customHeight="false" outlineLevel="0" collapsed="false">
      <c r="A73" s="62" t="s">
        <v>80</v>
      </c>
      <c r="B73" s="81" t="s">
        <v>81</v>
      </c>
      <c r="C73" s="81"/>
      <c r="D73" s="81"/>
      <c r="E73" s="81"/>
      <c r="F73" s="81"/>
      <c r="G73" s="81"/>
      <c r="H73" s="81"/>
      <c r="I73" s="204" t="s">
        <v>35</v>
      </c>
    </row>
    <row r="74" customFormat="false" ht="35.25" hidden="false" customHeight="true" outlineLevel="0" collapsed="false">
      <c r="A74" s="17" t="s">
        <v>8</v>
      </c>
      <c r="B74" s="95" t="s">
        <v>82</v>
      </c>
      <c r="C74" s="95"/>
      <c r="D74" s="95"/>
      <c r="E74" s="95"/>
      <c r="F74" s="95"/>
      <c r="G74" s="95"/>
      <c r="H74" s="95"/>
      <c r="I74" s="220" t="n">
        <f aca="false">ROUND(I43/12,2)</f>
        <v>280.44</v>
      </c>
      <c r="K74" s="66"/>
    </row>
    <row r="75" customFormat="false" ht="15.75" hidden="false" customHeight="false" outlineLevel="0" collapsed="false">
      <c r="A75" s="97" t="s">
        <v>83</v>
      </c>
      <c r="B75" s="97"/>
      <c r="C75" s="97"/>
      <c r="D75" s="97"/>
      <c r="E75" s="97"/>
      <c r="F75" s="97"/>
      <c r="G75" s="97"/>
      <c r="H75" s="97"/>
      <c r="I75" s="207" t="n">
        <f aca="false">SUM(I74:I74)</f>
        <v>280.44</v>
      </c>
      <c r="K75" s="66"/>
    </row>
    <row r="76" customFormat="false" ht="15.75" hidden="false" customHeight="false" outlineLevel="0" collapsed="false">
      <c r="A76" s="17" t="s">
        <v>10</v>
      </c>
      <c r="B76" s="83" t="s">
        <v>84</v>
      </c>
      <c r="C76" s="83"/>
      <c r="D76" s="83"/>
      <c r="E76" s="83"/>
      <c r="F76" s="83"/>
      <c r="G76" s="83"/>
      <c r="H76" s="83"/>
      <c r="I76" s="207" t="n">
        <f aca="false">ROUND(I75*H69,2)</f>
        <v>99</v>
      </c>
      <c r="K76" s="66"/>
    </row>
    <row r="77" customFormat="false" ht="15.75" hidden="false" customHeight="false" outlineLevel="0" collapsed="false">
      <c r="A77" s="60" t="s">
        <v>76</v>
      </c>
      <c r="B77" s="60"/>
      <c r="C77" s="60"/>
      <c r="D77" s="60"/>
      <c r="E77" s="60"/>
      <c r="F77" s="60"/>
      <c r="G77" s="60"/>
      <c r="H77" s="60"/>
      <c r="I77" s="210" t="n">
        <f aca="false">SUM(I75:I76)</f>
        <v>379.44</v>
      </c>
      <c r="K77" s="66"/>
    </row>
    <row r="78" customFormat="false" ht="15.75" hidden="false" customHeight="false" outlineLevel="0" collapsed="false">
      <c r="A78" s="79" t="s">
        <v>85</v>
      </c>
      <c r="B78" s="79"/>
      <c r="C78" s="79"/>
      <c r="D78" s="79"/>
      <c r="E78" s="79"/>
      <c r="F78" s="79"/>
      <c r="G78" s="79"/>
      <c r="H78" s="79"/>
      <c r="I78" s="79"/>
    </row>
    <row r="79" customFormat="false" ht="15.75" hidden="false" customHeight="false" outlineLevel="0" collapsed="false">
      <c r="A79" s="62" t="s">
        <v>86</v>
      </c>
      <c r="B79" s="81" t="s">
        <v>87</v>
      </c>
      <c r="C79" s="81"/>
      <c r="D79" s="81"/>
      <c r="E79" s="81"/>
      <c r="F79" s="81"/>
      <c r="G79" s="81"/>
      <c r="H79" s="81"/>
      <c r="I79" s="204" t="s">
        <v>35</v>
      </c>
    </row>
    <row r="80" customFormat="false" ht="15.75" hidden="false" customHeight="false" outlineLevel="0" collapsed="false">
      <c r="A80" s="17" t="s">
        <v>8</v>
      </c>
      <c r="B80" s="52" t="s">
        <v>88</v>
      </c>
      <c r="C80" s="52"/>
      <c r="D80" s="52"/>
      <c r="E80" s="52"/>
      <c r="F80" s="52"/>
      <c r="G80" s="52"/>
      <c r="H80" s="52"/>
      <c r="I80" s="75" t="n">
        <f aca="false">ROUND((((I43+I43/3)*(4/12))/12)*0.02,2)</f>
        <v>2.49</v>
      </c>
    </row>
    <row r="81" customFormat="false" ht="15.75" hidden="false" customHeight="false" outlineLevel="0" collapsed="false">
      <c r="A81" s="17" t="s">
        <v>10</v>
      </c>
      <c r="B81" s="83" t="s">
        <v>89</v>
      </c>
      <c r="C81" s="83"/>
      <c r="D81" s="83"/>
      <c r="E81" s="83"/>
      <c r="F81" s="83"/>
      <c r="G81" s="83"/>
      <c r="H81" s="83"/>
      <c r="I81" s="75" t="n">
        <f aca="false">ROUND(I80*H69,2)</f>
        <v>0.88</v>
      </c>
    </row>
    <row r="82" customFormat="false" ht="15.75" hidden="false" customHeight="false" outlineLevel="0" collapsed="false">
      <c r="A82" s="60" t="s">
        <v>76</v>
      </c>
      <c r="B82" s="60"/>
      <c r="C82" s="60"/>
      <c r="D82" s="60"/>
      <c r="E82" s="60"/>
      <c r="F82" s="60"/>
      <c r="G82" s="60"/>
      <c r="H82" s="60"/>
      <c r="I82" s="210" t="n">
        <f aca="false">SUM(I80:I81)</f>
        <v>3.37</v>
      </c>
    </row>
    <row r="83" customFormat="false" ht="15.75" hidden="false" customHeight="false" outlineLevel="0" collapsed="false">
      <c r="A83" s="79" t="s">
        <v>90</v>
      </c>
      <c r="B83" s="79"/>
      <c r="C83" s="79"/>
      <c r="D83" s="79"/>
      <c r="E83" s="79"/>
      <c r="F83" s="79"/>
      <c r="G83" s="79"/>
      <c r="H83" s="79"/>
      <c r="I83" s="79"/>
    </row>
    <row r="84" customFormat="false" ht="15.75" hidden="false" customHeight="false" outlineLevel="0" collapsed="false">
      <c r="A84" s="62" t="s">
        <v>91</v>
      </c>
      <c r="B84" s="81" t="s">
        <v>92</v>
      </c>
      <c r="C84" s="81"/>
      <c r="D84" s="81"/>
      <c r="E84" s="81"/>
      <c r="F84" s="81"/>
      <c r="G84" s="81"/>
      <c r="H84" s="81"/>
      <c r="I84" s="204" t="s">
        <v>35</v>
      </c>
    </row>
    <row r="85" customFormat="false" ht="25.5" hidden="false" customHeight="true" outlineLevel="0" collapsed="false">
      <c r="A85" s="17" t="s">
        <v>8</v>
      </c>
      <c r="B85" s="99" t="s">
        <v>93</v>
      </c>
      <c r="C85" s="99"/>
      <c r="D85" s="99"/>
      <c r="E85" s="99"/>
      <c r="F85" s="99"/>
      <c r="G85" s="99"/>
      <c r="H85" s="99"/>
      <c r="I85" s="207" t="n">
        <f aca="false">ROUND((I43/12)*(30/30)*0.05,2)</f>
        <v>14.02</v>
      </c>
    </row>
    <row r="86" customFormat="false" ht="15.75" hidden="false" customHeight="true" outlineLevel="0" collapsed="false">
      <c r="A86" s="17" t="s">
        <v>10</v>
      </c>
      <c r="B86" s="83" t="s">
        <v>94</v>
      </c>
      <c r="C86" s="83"/>
      <c r="D86" s="83"/>
      <c r="E86" s="83"/>
      <c r="F86" s="83"/>
      <c r="G86" s="83"/>
      <c r="H86" s="83"/>
      <c r="I86" s="207" t="n">
        <f aca="false">ROUND(I85*H66,2)</f>
        <v>1.12</v>
      </c>
    </row>
    <row r="87" customFormat="false" ht="49.5" hidden="false" customHeight="true" outlineLevel="0" collapsed="false">
      <c r="A87" s="17" t="s">
        <v>12</v>
      </c>
      <c r="B87" s="95" t="s">
        <v>95</v>
      </c>
      <c r="C87" s="95"/>
      <c r="D87" s="95"/>
      <c r="E87" s="95"/>
      <c r="F87" s="95"/>
      <c r="G87" s="95"/>
      <c r="H87" s="95"/>
      <c r="I87" s="220" t="n">
        <f aca="false">ROUND(0.0024*I43,2)</f>
        <v>8.08</v>
      </c>
      <c r="K87" s="66"/>
    </row>
    <row r="88" customFormat="false" ht="30.75" hidden="false" customHeight="true" outlineLevel="0" collapsed="false">
      <c r="A88" s="100" t="s">
        <v>14</v>
      </c>
      <c r="B88" s="99" t="s">
        <v>96</v>
      </c>
      <c r="C88" s="99"/>
      <c r="D88" s="99"/>
      <c r="E88" s="99"/>
      <c r="F88" s="99"/>
      <c r="G88" s="99"/>
      <c r="H88" s="99"/>
      <c r="I88" s="207" t="n">
        <f aca="false">ROUND(((I43/30)*7)/12,2)/2</f>
        <v>32.72</v>
      </c>
      <c r="N88" s="101"/>
    </row>
    <row r="89" customFormat="false" ht="18" hidden="false" customHeight="true" outlineLevel="0" collapsed="false">
      <c r="A89" s="17" t="s">
        <v>40</v>
      </c>
      <c r="B89" s="83" t="s">
        <v>97</v>
      </c>
      <c r="C89" s="83"/>
      <c r="D89" s="83"/>
      <c r="E89" s="83"/>
      <c r="F89" s="83"/>
      <c r="G89" s="83"/>
      <c r="H89" s="83"/>
      <c r="I89" s="207" t="n">
        <f aca="false">ROUND(I88*H69,2)</f>
        <v>11.55</v>
      </c>
      <c r="J89" s="13"/>
      <c r="K89" s="13"/>
      <c r="L89" s="102"/>
    </row>
    <row r="90" customFormat="false" ht="48.75" hidden="false" customHeight="true" outlineLevel="0" collapsed="false">
      <c r="A90" s="17" t="s">
        <v>42</v>
      </c>
      <c r="B90" s="95" t="s">
        <v>98</v>
      </c>
      <c r="C90" s="95"/>
      <c r="D90" s="95"/>
      <c r="E90" s="95"/>
      <c r="F90" s="95"/>
      <c r="G90" s="95"/>
      <c r="H90" s="95"/>
      <c r="I90" s="220" t="n">
        <f aca="false">ROUND(0.0476*I43,2)</f>
        <v>160.19</v>
      </c>
      <c r="J90" s="13"/>
      <c r="K90" s="66"/>
      <c r="L90" s="13"/>
    </row>
    <row r="91" customFormat="false" ht="20.25" hidden="false" customHeight="true" outlineLevel="0" collapsed="false">
      <c r="A91" s="60" t="s">
        <v>76</v>
      </c>
      <c r="B91" s="60"/>
      <c r="C91" s="60"/>
      <c r="D91" s="60"/>
      <c r="E91" s="60"/>
      <c r="F91" s="60"/>
      <c r="G91" s="60"/>
      <c r="H91" s="60"/>
      <c r="I91" s="210" t="n">
        <f aca="false">SUM(I85:I90)</f>
        <v>227.68</v>
      </c>
    </row>
    <row r="92" customFormat="false" ht="20.25" hidden="false" customHeight="true" outlineLevel="0" collapsed="false">
      <c r="A92" s="79" t="s">
        <v>99</v>
      </c>
      <c r="B92" s="79"/>
      <c r="C92" s="79"/>
      <c r="D92" s="79"/>
      <c r="E92" s="79"/>
      <c r="F92" s="79"/>
      <c r="G92" s="79"/>
      <c r="H92" s="79"/>
      <c r="I92" s="79"/>
    </row>
    <row r="93" customFormat="false" ht="15.75" hidden="false" customHeight="false" outlineLevel="0" collapsed="false">
      <c r="A93" s="62" t="s">
        <v>100</v>
      </c>
      <c r="B93" s="81" t="s">
        <v>101</v>
      </c>
      <c r="C93" s="81"/>
      <c r="D93" s="81"/>
      <c r="E93" s="81"/>
      <c r="F93" s="81"/>
      <c r="G93" s="81"/>
      <c r="H93" s="81"/>
      <c r="I93" s="204" t="s">
        <v>35</v>
      </c>
    </row>
    <row r="94" customFormat="false" ht="49.5" hidden="false" customHeight="true" outlineLevel="0" collapsed="false">
      <c r="A94" s="17" t="s">
        <v>8</v>
      </c>
      <c r="B94" s="95" t="s">
        <v>102</v>
      </c>
      <c r="C94" s="95"/>
      <c r="D94" s="95"/>
      <c r="E94" s="95"/>
      <c r="F94" s="95"/>
      <c r="G94" s="95"/>
      <c r="H94" s="95"/>
      <c r="I94" s="220" t="n">
        <f aca="false">ROUND(0.121*I43,2)</f>
        <v>407.21</v>
      </c>
      <c r="K94" s="66"/>
    </row>
    <row r="95" customFormat="false" ht="17.25" hidden="false" customHeight="true" outlineLevel="0" collapsed="false">
      <c r="A95" s="17" t="s">
        <v>10</v>
      </c>
      <c r="B95" s="52" t="s">
        <v>103</v>
      </c>
      <c r="C95" s="52"/>
      <c r="D95" s="52"/>
      <c r="E95" s="52"/>
      <c r="F95" s="52"/>
      <c r="G95" s="52"/>
      <c r="H95" s="52"/>
      <c r="I95" s="207" t="n">
        <f aca="false">ROUND(((I43/30)*5)/12,2)</f>
        <v>46.74</v>
      </c>
    </row>
    <row r="96" customFormat="false" ht="16.5" hidden="false" customHeight="true" outlineLevel="0" collapsed="false">
      <c r="A96" s="17" t="s">
        <v>12</v>
      </c>
      <c r="B96" s="52" t="s">
        <v>104</v>
      </c>
      <c r="C96" s="52"/>
      <c r="D96" s="52"/>
      <c r="E96" s="52"/>
      <c r="F96" s="52"/>
      <c r="G96" s="52"/>
      <c r="H96" s="52"/>
      <c r="I96" s="207" t="n">
        <f aca="false">ROUND((((I43/30)*5)/12)*0.015,2)</f>
        <v>0.7</v>
      </c>
    </row>
    <row r="97" customFormat="false" ht="17.25" hidden="false" customHeight="true" outlineLevel="0" collapsed="false">
      <c r="A97" s="17" t="s">
        <v>14</v>
      </c>
      <c r="B97" s="52" t="s">
        <v>105</v>
      </c>
      <c r="C97" s="52"/>
      <c r="D97" s="52"/>
      <c r="E97" s="52"/>
      <c r="F97" s="52"/>
      <c r="G97" s="52"/>
      <c r="H97" s="52"/>
      <c r="I97" s="207" t="n">
        <f aca="false">ROUND(((I43/30)*2.96)/12,2)</f>
        <v>27.67</v>
      </c>
    </row>
    <row r="98" customFormat="false" ht="16.5" hidden="false" customHeight="true" outlineLevel="0" collapsed="false">
      <c r="A98" s="17" t="s">
        <v>40</v>
      </c>
      <c r="B98" s="52" t="s">
        <v>106</v>
      </c>
      <c r="C98" s="52"/>
      <c r="D98" s="52"/>
      <c r="E98" s="52"/>
      <c r="F98" s="52"/>
      <c r="G98" s="52"/>
      <c r="H98" s="52"/>
      <c r="I98" s="207" t="n">
        <f aca="false">ROUND((((I43/30)*15)/12)*0.0078,2)</f>
        <v>1.09</v>
      </c>
    </row>
    <row r="99" customFormat="false" ht="15.75" hidden="false" customHeight="false" outlineLevel="0" collapsed="false">
      <c r="A99" s="97" t="s">
        <v>83</v>
      </c>
      <c r="B99" s="97"/>
      <c r="C99" s="97"/>
      <c r="D99" s="97"/>
      <c r="E99" s="97"/>
      <c r="F99" s="97"/>
      <c r="G99" s="97"/>
      <c r="H99" s="97"/>
      <c r="I99" s="223" t="n">
        <f aca="false">SUM(I94:I98)</f>
        <v>483.41</v>
      </c>
      <c r="K99" s="66"/>
    </row>
    <row r="100" customFormat="false" ht="18" hidden="false" customHeight="true" outlineLevel="0" collapsed="false">
      <c r="A100" s="17" t="s">
        <v>70</v>
      </c>
      <c r="B100" s="83" t="s">
        <v>107</v>
      </c>
      <c r="C100" s="83"/>
      <c r="D100" s="83"/>
      <c r="E100" s="83"/>
      <c r="F100" s="83"/>
      <c r="G100" s="83"/>
      <c r="H100" s="83"/>
      <c r="I100" s="224" t="n">
        <f aca="false">ROUND(I99*H69,2)</f>
        <v>170.64</v>
      </c>
      <c r="K100" s="66"/>
    </row>
    <row r="101" customFormat="false" ht="15.75" hidden="false" customHeight="false" outlineLevel="0" collapsed="false">
      <c r="A101" s="60" t="s">
        <v>76</v>
      </c>
      <c r="B101" s="60"/>
      <c r="C101" s="60"/>
      <c r="D101" s="60"/>
      <c r="E101" s="60"/>
      <c r="F101" s="60"/>
      <c r="G101" s="60"/>
      <c r="H101" s="60"/>
      <c r="I101" s="210" t="n">
        <f aca="false">SUM(I99+I100)</f>
        <v>654.05</v>
      </c>
      <c r="K101" s="66"/>
    </row>
    <row r="102" customFormat="false" ht="15.75" hidden="false" customHeight="false" outlineLevel="0" collapsed="false">
      <c r="A102" s="104" t="s">
        <v>108</v>
      </c>
      <c r="B102" s="104"/>
      <c r="C102" s="104"/>
      <c r="D102" s="104"/>
      <c r="E102" s="104"/>
      <c r="F102" s="104"/>
      <c r="G102" s="104"/>
      <c r="H102" s="104"/>
      <c r="I102" s="104"/>
    </row>
    <row r="103" customFormat="false" ht="15.75" hidden="false" customHeight="false" outlineLevel="0" collapsed="false">
      <c r="A103" s="62" t="n">
        <v>4</v>
      </c>
      <c r="B103" s="81" t="s">
        <v>109</v>
      </c>
      <c r="C103" s="81"/>
      <c r="D103" s="81"/>
      <c r="E103" s="81"/>
      <c r="F103" s="81"/>
      <c r="G103" s="81"/>
      <c r="H103" s="81"/>
      <c r="I103" s="204" t="s">
        <v>35</v>
      </c>
    </row>
    <row r="104" customFormat="false" ht="15.75" hidden="false" customHeight="false" outlineLevel="0" collapsed="false">
      <c r="A104" s="17" t="s">
        <v>61</v>
      </c>
      <c r="B104" s="83" t="s">
        <v>62</v>
      </c>
      <c r="C104" s="83"/>
      <c r="D104" s="83"/>
      <c r="E104" s="83"/>
      <c r="F104" s="83"/>
      <c r="G104" s="83"/>
      <c r="H104" s="83"/>
      <c r="I104" s="75" t="n">
        <f aca="false">I69</f>
        <v>1048.18</v>
      </c>
    </row>
    <row r="105" customFormat="false" ht="15.75" hidden="false" customHeight="false" outlineLevel="0" collapsed="false">
      <c r="A105" s="17" t="s">
        <v>80</v>
      </c>
      <c r="B105" s="83" t="s">
        <v>110</v>
      </c>
      <c r="C105" s="83"/>
      <c r="D105" s="83"/>
      <c r="E105" s="83"/>
      <c r="F105" s="83"/>
      <c r="G105" s="83"/>
      <c r="H105" s="83"/>
      <c r="I105" s="75" t="n">
        <f aca="false">I77</f>
        <v>379.44</v>
      </c>
    </row>
    <row r="106" customFormat="false" ht="15.75" hidden="false" customHeight="false" outlineLevel="0" collapsed="false">
      <c r="A106" s="17" t="s">
        <v>86</v>
      </c>
      <c r="B106" s="83" t="s">
        <v>87</v>
      </c>
      <c r="C106" s="83"/>
      <c r="D106" s="83"/>
      <c r="E106" s="83"/>
      <c r="F106" s="83"/>
      <c r="G106" s="83"/>
      <c r="H106" s="83"/>
      <c r="I106" s="75" t="n">
        <f aca="false">I82</f>
        <v>3.37</v>
      </c>
    </row>
    <row r="107" customFormat="false" ht="15.75" hidden="false" customHeight="false" outlineLevel="0" collapsed="false">
      <c r="A107" s="17" t="s">
        <v>91</v>
      </c>
      <c r="B107" s="83" t="s">
        <v>111</v>
      </c>
      <c r="C107" s="83"/>
      <c r="D107" s="83"/>
      <c r="E107" s="83"/>
      <c r="F107" s="83"/>
      <c r="G107" s="83"/>
      <c r="H107" s="83"/>
      <c r="I107" s="75" t="n">
        <f aca="false">I91</f>
        <v>227.68</v>
      </c>
    </row>
    <row r="108" customFormat="false" ht="15.75" hidden="false" customHeight="false" outlineLevel="0" collapsed="false">
      <c r="A108" s="17" t="s">
        <v>100</v>
      </c>
      <c r="B108" s="83" t="s">
        <v>112</v>
      </c>
      <c r="C108" s="83"/>
      <c r="D108" s="83"/>
      <c r="E108" s="83"/>
      <c r="F108" s="83"/>
      <c r="G108" s="83"/>
      <c r="H108" s="83"/>
      <c r="I108" s="75" t="n">
        <f aca="false">I101</f>
        <v>654.05</v>
      </c>
    </row>
    <row r="109" customFormat="false" ht="15.75" hidden="false" customHeight="false" outlineLevel="0" collapsed="false">
      <c r="A109" s="60" t="s">
        <v>76</v>
      </c>
      <c r="B109" s="60"/>
      <c r="C109" s="60"/>
      <c r="D109" s="60"/>
      <c r="E109" s="60"/>
      <c r="F109" s="60"/>
      <c r="G109" s="60"/>
      <c r="H109" s="60"/>
      <c r="I109" s="210" t="n">
        <f aca="false">SUM(I104:I108)</f>
        <v>2312.72</v>
      </c>
      <c r="K109" s="106"/>
    </row>
    <row r="110" customFormat="false" ht="24.75" hidden="false" customHeight="true" outlineLevel="0" collapsed="false">
      <c r="A110" s="107" t="s">
        <v>113</v>
      </c>
      <c r="B110" s="107"/>
      <c r="C110" s="107"/>
      <c r="D110" s="107"/>
      <c r="E110" s="107"/>
      <c r="F110" s="107"/>
      <c r="G110" s="107"/>
      <c r="H110" s="107"/>
      <c r="I110" s="107"/>
    </row>
    <row r="111" customFormat="false" ht="17.25" hidden="false" customHeight="true" outlineLevel="0" collapsed="false">
      <c r="A111" s="62" t="n">
        <v>5</v>
      </c>
      <c r="B111" s="63" t="s">
        <v>114</v>
      </c>
      <c r="C111" s="63"/>
      <c r="D111" s="63"/>
      <c r="E111" s="63"/>
      <c r="F111" s="63"/>
      <c r="G111" s="63"/>
      <c r="H111" s="108" t="s">
        <v>63</v>
      </c>
      <c r="I111" s="204" t="s">
        <v>35</v>
      </c>
    </row>
    <row r="112" customFormat="false" ht="53.25" hidden="false" customHeight="true" outlineLevel="0" collapsed="false">
      <c r="A112" s="109" t="s">
        <v>115</v>
      </c>
      <c r="B112" s="109"/>
      <c r="C112" s="109"/>
      <c r="D112" s="109"/>
      <c r="E112" s="109"/>
      <c r="F112" s="109"/>
      <c r="G112" s="109"/>
      <c r="H112" s="110" t="n">
        <v>0</v>
      </c>
      <c r="I112" s="226" t="n">
        <f aca="false">(I43+I52+I57+I109)</f>
        <v>6713.47825</v>
      </c>
    </row>
    <row r="113" customFormat="false" ht="15.75" hidden="false" customHeight="false" outlineLevel="0" collapsed="false">
      <c r="A113" s="17" t="s">
        <v>8</v>
      </c>
      <c r="B113" s="83" t="s">
        <v>116</v>
      </c>
      <c r="C113" s="83"/>
      <c r="D113" s="83"/>
      <c r="E113" s="83"/>
      <c r="F113" s="83"/>
      <c r="G113" s="83"/>
      <c r="H113" s="112" t="n">
        <f aca="false">'Alegrete 1.1'!H110</f>
        <v>0.1207</v>
      </c>
      <c r="I113" s="207" t="n">
        <f aca="false">ROUND(I112*H113,2)</f>
        <v>810.32</v>
      </c>
      <c r="J113" s="113"/>
    </row>
    <row r="114" customFormat="false" ht="51.75" hidden="false" customHeight="true" outlineLevel="0" collapsed="false">
      <c r="A114" s="109" t="s">
        <v>117</v>
      </c>
      <c r="B114" s="109"/>
      <c r="C114" s="109"/>
      <c r="D114" s="109"/>
      <c r="E114" s="109"/>
      <c r="F114" s="109"/>
      <c r="G114" s="109"/>
      <c r="H114" s="114" t="n">
        <v>0</v>
      </c>
      <c r="I114" s="228" t="n">
        <f aca="false">I112+I113</f>
        <v>7523.79825</v>
      </c>
      <c r="J114" s="113"/>
    </row>
    <row r="115" customFormat="false" ht="15.75" hidden="false" customHeight="false" outlineLevel="0" collapsed="false">
      <c r="A115" s="17" t="s">
        <v>10</v>
      </c>
      <c r="B115" s="83" t="s">
        <v>118</v>
      </c>
      <c r="C115" s="83"/>
      <c r="D115" s="83"/>
      <c r="E115" s="83"/>
      <c r="F115" s="83"/>
      <c r="G115" s="83"/>
      <c r="H115" s="112" t="n">
        <f aca="false">'Alegrete 1.1'!H112</f>
        <v>0.0818</v>
      </c>
      <c r="I115" s="207" t="n">
        <f aca="false">ROUND(I114*H115,2)</f>
        <v>615.45</v>
      </c>
      <c r="J115" s="116"/>
    </row>
    <row r="116" customFormat="false" ht="57.75" hidden="false" customHeight="true" outlineLevel="0" collapsed="false">
      <c r="A116" s="109" t="s">
        <v>119</v>
      </c>
      <c r="B116" s="109"/>
      <c r="C116" s="109"/>
      <c r="D116" s="109"/>
      <c r="E116" s="109"/>
      <c r="F116" s="109"/>
      <c r="G116" s="109"/>
      <c r="H116" s="117" t="n">
        <v>0</v>
      </c>
      <c r="I116" s="231" t="n">
        <f aca="false">I114+I115</f>
        <v>8139.24825</v>
      </c>
      <c r="J116" s="116"/>
    </row>
    <row r="117" customFormat="false" ht="15.75" hidden="false" customHeight="false" outlineLevel="0" collapsed="false">
      <c r="A117" s="17" t="s">
        <v>12</v>
      </c>
      <c r="B117" s="83" t="s">
        <v>120</v>
      </c>
      <c r="C117" s="83"/>
      <c r="D117" s="83"/>
      <c r="E117" s="83"/>
      <c r="F117" s="83"/>
      <c r="G117" s="83"/>
      <c r="H117" s="119" t="s">
        <v>198</v>
      </c>
      <c r="I117" s="232" t="s">
        <v>198</v>
      </c>
      <c r="J117" s="116"/>
    </row>
    <row r="118" customFormat="false" ht="15.75" hidden="false" customHeight="false" outlineLevel="0" collapsed="false">
      <c r="A118" s="17"/>
      <c r="B118" s="83" t="s">
        <v>121</v>
      </c>
      <c r="C118" s="83"/>
      <c r="D118" s="83"/>
      <c r="E118" s="83"/>
      <c r="F118" s="83"/>
      <c r="G118" s="83"/>
      <c r="H118" s="119" t="s">
        <v>198</v>
      </c>
      <c r="I118" s="232" t="s">
        <v>198</v>
      </c>
    </row>
    <row r="119" customFormat="false" ht="32.25" hidden="false" customHeight="true" outlineLevel="0" collapsed="false">
      <c r="A119" s="17"/>
      <c r="B119" s="67" t="s">
        <v>199</v>
      </c>
      <c r="C119" s="67"/>
      <c r="D119" s="67"/>
      <c r="E119" s="67"/>
      <c r="F119" s="67"/>
      <c r="G119" s="67"/>
      <c r="H119" s="121" t="n">
        <v>0.03</v>
      </c>
      <c r="I119" s="207" t="n">
        <f aca="false">ROUND(($I$116/(1-H126))*H119,2)</f>
        <v>267.3</v>
      </c>
    </row>
    <row r="120" customFormat="false" ht="23.25" hidden="false" customHeight="true" outlineLevel="0" collapsed="false">
      <c r="A120" s="17"/>
      <c r="B120" s="67" t="s">
        <v>200</v>
      </c>
      <c r="C120" s="67"/>
      <c r="D120" s="67"/>
      <c r="E120" s="67"/>
      <c r="F120" s="67"/>
      <c r="G120" s="67"/>
      <c r="H120" s="121" t="n">
        <v>0.0065</v>
      </c>
      <c r="I120" s="207" t="n">
        <f aca="false">ROUND(($I$116/(1-H126))*H120,2)</f>
        <v>57.91</v>
      </c>
      <c r="K120" s="66"/>
    </row>
    <row r="121" customFormat="false" ht="31.5" hidden="false" customHeight="true" outlineLevel="0" collapsed="false">
      <c r="A121" s="17"/>
      <c r="B121" s="122" t="s">
        <v>124</v>
      </c>
      <c r="C121" s="122"/>
      <c r="D121" s="122"/>
      <c r="E121" s="122"/>
      <c r="F121" s="122"/>
      <c r="G121" s="122"/>
      <c r="H121" s="121" t="s">
        <v>198</v>
      </c>
      <c r="I121" s="232" t="s">
        <v>198</v>
      </c>
      <c r="K121" s="66"/>
    </row>
    <row r="122" customFormat="false" ht="18" hidden="false" customHeight="true" outlineLevel="0" collapsed="false">
      <c r="A122" s="17"/>
      <c r="B122" s="83" t="s">
        <v>125</v>
      </c>
      <c r="C122" s="83"/>
      <c r="D122" s="83"/>
      <c r="E122" s="83"/>
      <c r="F122" s="83"/>
      <c r="G122" s="83"/>
      <c r="H122" s="119" t="s">
        <v>198</v>
      </c>
      <c r="I122" s="232" t="s">
        <v>198</v>
      </c>
    </row>
    <row r="123" customFormat="false" ht="15.75" hidden="false" customHeight="false" outlineLevel="0" collapsed="false">
      <c r="A123" s="17"/>
      <c r="B123" s="83" t="s">
        <v>126</v>
      </c>
      <c r="C123" s="83"/>
      <c r="D123" s="83"/>
      <c r="E123" s="83"/>
      <c r="F123" s="83"/>
      <c r="G123" s="83"/>
      <c r="H123" s="119" t="s">
        <v>198</v>
      </c>
      <c r="I123" s="232" t="s">
        <v>198</v>
      </c>
      <c r="K123" s="66"/>
    </row>
    <row r="124" customFormat="false" ht="15.75" hidden="false" customHeight="false" outlineLevel="0" collapsed="false">
      <c r="A124" s="17"/>
      <c r="B124" s="52" t="s">
        <v>230</v>
      </c>
      <c r="C124" s="52"/>
      <c r="D124" s="52"/>
      <c r="E124" s="52"/>
      <c r="F124" s="52"/>
      <c r="G124" s="52"/>
      <c r="H124" s="124" t="n">
        <v>0.05</v>
      </c>
      <c r="I124" s="207" t="n">
        <f aca="false">ROUND(($I$116/(1-H126))*H124,2)</f>
        <v>445.5</v>
      </c>
    </row>
    <row r="125" customFormat="false" ht="15.75" hidden="false" customHeight="false" outlineLevel="0" collapsed="false">
      <c r="A125" s="125" t="s">
        <v>76</v>
      </c>
      <c r="B125" s="125"/>
      <c r="C125" s="125"/>
      <c r="D125" s="125"/>
      <c r="E125" s="125"/>
      <c r="F125" s="125"/>
      <c r="G125" s="125"/>
      <c r="H125" s="125"/>
      <c r="I125" s="234" t="n">
        <f aca="false">I113+I115+I119+I120+I124</f>
        <v>2196.48</v>
      </c>
    </row>
    <row r="126" customFormat="false" ht="15.75" hidden="false" customHeight="false" outlineLevel="0" collapsed="false">
      <c r="A126" s="127" t="s">
        <v>128</v>
      </c>
      <c r="B126" s="127"/>
      <c r="C126" s="127"/>
      <c r="D126" s="127"/>
      <c r="E126" s="127"/>
      <c r="F126" s="127"/>
      <c r="G126" s="127"/>
      <c r="H126" s="128" t="n">
        <f aca="false">SUM(H119:H124)</f>
        <v>0.0865</v>
      </c>
      <c r="I126" s="235" t="n">
        <f aca="false">SUM(I119+I120+I124)</f>
        <v>770.71</v>
      </c>
    </row>
    <row r="127" customFormat="false" ht="15.75" hidden="false" customHeight="false" outlineLevel="0" collapsed="false">
      <c r="A127" s="130" t="s">
        <v>129</v>
      </c>
      <c r="B127" s="130"/>
      <c r="C127" s="293" t="s">
        <v>130</v>
      </c>
      <c r="D127" s="293"/>
      <c r="E127" s="293"/>
      <c r="F127" s="293"/>
      <c r="G127" s="293"/>
      <c r="H127" s="293"/>
      <c r="I127" s="293"/>
    </row>
    <row r="128" customFormat="false" ht="15" hidden="false" customHeight="false" outlineLevel="0" collapsed="false">
      <c r="A128" s="130"/>
      <c r="B128" s="130"/>
      <c r="C128" s="294" t="s">
        <v>131</v>
      </c>
      <c r="D128" s="294"/>
      <c r="E128" s="294"/>
      <c r="F128" s="294"/>
      <c r="G128" s="294"/>
      <c r="H128" s="294"/>
      <c r="I128" s="294"/>
    </row>
    <row r="129" customFormat="false" ht="15.75" hidden="false" customHeight="false" outlineLevel="0" collapsed="false">
      <c r="A129" s="133" t="s">
        <v>132</v>
      </c>
      <c r="B129" s="133"/>
      <c r="C129" s="133"/>
      <c r="D129" s="133"/>
      <c r="E129" s="133"/>
      <c r="F129" s="133"/>
      <c r="G129" s="133"/>
      <c r="H129" s="133"/>
      <c r="I129" s="133"/>
    </row>
    <row r="130" customFormat="false" ht="15.75" hidden="false" customHeight="false" outlineLevel="0" collapsed="false">
      <c r="A130" s="94" t="s">
        <v>133</v>
      </c>
      <c r="B130" s="94"/>
      <c r="C130" s="94"/>
      <c r="D130" s="94"/>
      <c r="E130" s="94"/>
      <c r="F130" s="94"/>
      <c r="G130" s="94"/>
      <c r="H130" s="94"/>
      <c r="I130" s="94"/>
    </row>
    <row r="131" customFormat="false" ht="15.75" hidden="false" customHeight="false" outlineLevel="0" collapsed="false">
      <c r="A131" s="295"/>
      <c r="B131" s="295"/>
      <c r="C131" s="295"/>
      <c r="D131" s="295"/>
      <c r="E131" s="295"/>
      <c r="F131" s="295"/>
      <c r="G131" s="295"/>
      <c r="H131" s="295"/>
      <c r="I131" s="295"/>
    </row>
    <row r="132" customFormat="false" ht="15.75" hidden="false" customHeight="false" outlineLevel="0" collapsed="false">
      <c r="A132" s="33" t="s">
        <v>134</v>
      </c>
      <c r="B132" s="33"/>
      <c r="C132" s="33"/>
      <c r="D132" s="33"/>
      <c r="E132" s="33"/>
      <c r="F132" s="33"/>
      <c r="G132" s="33"/>
      <c r="H132" s="33"/>
      <c r="I132" s="33"/>
    </row>
    <row r="133" customFormat="false" ht="15.75" hidden="false" customHeight="false" outlineLevel="0" collapsed="false">
      <c r="A133" s="135" t="s">
        <v>135</v>
      </c>
      <c r="B133" s="135"/>
      <c r="C133" s="135"/>
      <c r="D133" s="135"/>
      <c r="E133" s="135"/>
      <c r="F133" s="135"/>
      <c r="G133" s="135"/>
      <c r="H133" s="135"/>
      <c r="I133" s="135"/>
    </row>
    <row r="134" customFormat="false" ht="15.75" hidden="false" customHeight="false" outlineLevel="0" collapsed="false">
      <c r="A134" s="136" t="s">
        <v>136</v>
      </c>
      <c r="B134" s="136"/>
      <c r="C134" s="136"/>
      <c r="D134" s="136"/>
      <c r="E134" s="136"/>
      <c r="F134" s="136"/>
      <c r="G134" s="136"/>
      <c r="H134" s="136"/>
      <c r="I134" s="313" t="s">
        <v>35</v>
      </c>
    </row>
    <row r="135" customFormat="false" ht="15.75" hidden="false" customHeight="false" outlineLevel="0" collapsed="false">
      <c r="A135" s="14" t="s">
        <v>8</v>
      </c>
      <c r="B135" s="15" t="s">
        <v>137</v>
      </c>
      <c r="C135" s="15"/>
      <c r="D135" s="15"/>
      <c r="E135" s="15"/>
      <c r="F135" s="15"/>
      <c r="G135" s="15"/>
      <c r="H135" s="15"/>
      <c r="I135" s="314" t="n">
        <f aca="false">I43</f>
        <v>3365.332</v>
      </c>
    </row>
    <row r="136" customFormat="false" ht="15.75" hidden="false" customHeight="false" outlineLevel="0" collapsed="false">
      <c r="A136" s="14" t="s">
        <v>10</v>
      </c>
      <c r="B136" s="15" t="s">
        <v>138</v>
      </c>
      <c r="C136" s="15"/>
      <c r="D136" s="15"/>
      <c r="E136" s="15"/>
      <c r="F136" s="15"/>
      <c r="G136" s="15"/>
      <c r="H136" s="15"/>
      <c r="I136" s="314" t="n">
        <f aca="false">I52</f>
        <v>897.75</v>
      </c>
    </row>
    <row r="137" customFormat="false" ht="15.75" hidden="false" customHeight="false" outlineLevel="0" collapsed="false">
      <c r="A137" s="14" t="s">
        <v>12</v>
      </c>
      <c r="B137" s="15" t="s">
        <v>139</v>
      </c>
      <c r="C137" s="15"/>
      <c r="D137" s="15"/>
      <c r="E137" s="15"/>
      <c r="F137" s="15"/>
      <c r="G137" s="15"/>
      <c r="H137" s="15"/>
      <c r="I137" s="315" t="n">
        <f aca="false">I57</f>
        <v>137.67625</v>
      </c>
    </row>
    <row r="138" customFormat="false" ht="15.75" hidden="false" customHeight="false" outlineLevel="0" collapsed="false">
      <c r="A138" s="14" t="s">
        <v>14</v>
      </c>
      <c r="B138" s="15" t="s">
        <v>109</v>
      </c>
      <c r="C138" s="15"/>
      <c r="D138" s="15"/>
      <c r="E138" s="15"/>
      <c r="F138" s="15"/>
      <c r="G138" s="15"/>
      <c r="H138" s="15"/>
      <c r="I138" s="314" t="n">
        <f aca="false">I109</f>
        <v>2312.72</v>
      </c>
    </row>
    <row r="139" customFormat="false" ht="15.75" hidden="false" customHeight="false" outlineLevel="0" collapsed="false">
      <c r="A139" s="140" t="s">
        <v>140</v>
      </c>
      <c r="B139" s="140"/>
      <c r="C139" s="140"/>
      <c r="D139" s="140"/>
      <c r="E139" s="140"/>
      <c r="F139" s="140"/>
      <c r="G139" s="140"/>
      <c r="H139" s="140"/>
      <c r="I139" s="316" t="n">
        <f aca="false">SUM(I135:I138)</f>
        <v>6713.47825</v>
      </c>
    </row>
    <row r="140" customFormat="false" ht="15.75" hidden="false" customHeight="false" outlineLevel="0" collapsed="false">
      <c r="A140" s="14" t="s">
        <v>40</v>
      </c>
      <c r="B140" s="15" t="s">
        <v>141</v>
      </c>
      <c r="C140" s="15"/>
      <c r="D140" s="15"/>
      <c r="E140" s="15"/>
      <c r="F140" s="15"/>
      <c r="G140" s="15"/>
      <c r="H140" s="15"/>
      <c r="I140" s="314" t="n">
        <f aca="false">I125</f>
        <v>2196.48</v>
      </c>
    </row>
    <row r="141" customFormat="false" ht="15.75" hidden="false" customHeight="false" outlineLevel="0" collapsed="false">
      <c r="A141" s="143" t="s">
        <v>142</v>
      </c>
      <c r="B141" s="143"/>
      <c r="C141" s="143"/>
      <c r="D141" s="143"/>
      <c r="E141" s="143"/>
      <c r="F141" s="143"/>
      <c r="G141" s="143"/>
      <c r="H141" s="143"/>
      <c r="I141" s="317" t="n">
        <f aca="false">SUM(I139+I140)</f>
        <v>8909.95825</v>
      </c>
    </row>
    <row r="142" customFormat="false" ht="15.75" hidden="false" customHeight="false" outlineLevel="0" collapsed="false">
      <c r="A142" s="301"/>
      <c r="B142" s="301"/>
      <c r="C142" s="301"/>
      <c r="D142" s="301"/>
      <c r="E142" s="301"/>
      <c r="F142" s="301"/>
      <c r="G142" s="301"/>
      <c r="H142" s="301"/>
      <c r="I142" s="301"/>
    </row>
    <row r="143" customFormat="false" ht="15.75" hidden="false" customHeight="false" outlineLevel="0" collapsed="false">
      <c r="A143" s="33" t="s">
        <v>143</v>
      </c>
      <c r="B143" s="33"/>
      <c r="C143" s="33"/>
      <c r="D143" s="33"/>
      <c r="E143" s="33"/>
      <c r="F143" s="33"/>
      <c r="G143" s="33"/>
      <c r="H143" s="33"/>
      <c r="I143" s="33"/>
    </row>
    <row r="144" customFormat="false" ht="15.75" hidden="false" customHeight="false" outlineLevel="0" collapsed="false">
      <c r="A144" s="146" t="s">
        <v>144</v>
      </c>
      <c r="B144" s="146"/>
      <c r="C144" s="146"/>
      <c r="D144" s="146"/>
      <c r="E144" s="146"/>
      <c r="F144" s="146"/>
      <c r="G144" s="146"/>
      <c r="H144" s="146"/>
      <c r="I144" s="146"/>
    </row>
    <row r="145" customFormat="false" ht="47.25" hidden="false" customHeight="true" outlineLevel="0" collapsed="false">
      <c r="A145" s="147" t="s">
        <v>145</v>
      </c>
      <c r="B145" s="147"/>
      <c r="C145" s="148" t="s">
        <v>146</v>
      </c>
      <c r="D145" s="148"/>
      <c r="E145" s="149" t="s">
        <v>147</v>
      </c>
      <c r="F145" s="148" t="s">
        <v>148</v>
      </c>
      <c r="G145" s="148"/>
      <c r="H145" s="148" t="s">
        <v>149</v>
      </c>
      <c r="I145" s="247" t="s">
        <v>150</v>
      </c>
    </row>
    <row r="146" customFormat="false" ht="39" hidden="false" customHeight="true" outlineLevel="0" collapsed="false">
      <c r="A146" s="151" t="s">
        <v>26</v>
      </c>
      <c r="B146" s="151"/>
      <c r="C146" s="152" t="n">
        <f aca="false">I141</f>
        <v>8909.95825</v>
      </c>
      <c r="D146" s="152"/>
      <c r="E146" s="153" t="n">
        <v>2</v>
      </c>
      <c r="F146" s="154" t="n">
        <f aca="false">C146</f>
        <v>8909.95825</v>
      </c>
      <c r="G146" s="154"/>
      <c r="H146" s="155" t="n">
        <v>1</v>
      </c>
      <c r="I146" s="253" t="n">
        <f aca="false">F146*H146</f>
        <v>8909.95825</v>
      </c>
    </row>
    <row r="147" customFormat="false" ht="15.75" hidden="false" customHeight="false" outlineLevel="0" collapsed="false">
      <c r="A147" s="301"/>
      <c r="B147" s="301"/>
      <c r="C147" s="301"/>
      <c r="D147" s="301"/>
      <c r="E147" s="301"/>
      <c r="F147" s="301"/>
      <c r="G147" s="301"/>
      <c r="H147" s="301"/>
      <c r="I147" s="301"/>
    </row>
    <row r="148" customFormat="false" ht="15.75" hidden="false" customHeight="false" outlineLevel="0" collapsed="false">
      <c r="A148" s="33" t="s">
        <v>151</v>
      </c>
      <c r="B148" s="33"/>
      <c r="C148" s="33"/>
      <c r="D148" s="33"/>
      <c r="E148" s="33"/>
      <c r="F148" s="33"/>
      <c r="G148" s="33"/>
      <c r="H148" s="33"/>
      <c r="I148" s="33"/>
    </row>
    <row r="149" customFormat="false" ht="15.75" hidden="false" customHeight="false" outlineLevel="0" collapsed="false">
      <c r="A149" s="146" t="s">
        <v>152</v>
      </c>
      <c r="B149" s="146"/>
      <c r="C149" s="146"/>
      <c r="D149" s="146"/>
      <c r="E149" s="146"/>
      <c r="F149" s="146"/>
      <c r="G149" s="146"/>
      <c r="H149" s="146"/>
      <c r="I149" s="146"/>
    </row>
    <row r="150" customFormat="false" ht="15.75" hidden="false" customHeight="false" outlineLevel="0" collapsed="false">
      <c r="A150" s="157" t="s">
        <v>153</v>
      </c>
      <c r="B150" s="157"/>
      <c r="C150" s="157"/>
      <c r="D150" s="157"/>
      <c r="E150" s="157"/>
      <c r="F150" s="157"/>
      <c r="G150" s="157"/>
      <c r="H150" s="157"/>
      <c r="I150" s="157"/>
    </row>
    <row r="151" customFormat="false" ht="15.75" hidden="false" customHeight="false" outlineLevel="0" collapsed="false">
      <c r="A151" s="158" t="s">
        <v>8</v>
      </c>
      <c r="B151" s="15" t="s">
        <v>154</v>
      </c>
      <c r="C151" s="15"/>
      <c r="D151" s="15"/>
      <c r="E151" s="15"/>
      <c r="F151" s="15"/>
      <c r="G151" s="15"/>
      <c r="H151" s="15"/>
      <c r="I151" s="318" t="n">
        <f aca="false">F146</f>
        <v>8909.95825</v>
      </c>
    </row>
    <row r="152" customFormat="false" ht="15.75" hidden="false" customHeight="false" outlineLevel="0" collapsed="false">
      <c r="A152" s="158" t="s">
        <v>10</v>
      </c>
      <c r="B152" s="15" t="s">
        <v>155</v>
      </c>
      <c r="C152" s="15"/>
      <c r="D152" s="15"/>
      <c r="E152" s="15"/>
      <c r="F152" s="15"/>
      <c r="G152" s="15"/>
      <c r="H152" s="15"/>
      <c r="I152" s="319" t="n">
        <f aca="false">I146</f>
        <v>8909.95825</v>
      </c>
    </row>
    <row r="153" customFormat="false" ht="16.5" hidden="false" customHeight="true" outlineLevel="0" collapsed="false">
      <c r="A153" s="161" t="s">
        <v>12</v>
      </c>
      <c r="B153" s="162" t="s">
        <v>156</v>
      </c>
      <c r="C153" s="162"/>
      <c r="D153" s="162"/>
      <c r="E153" s="162"/>
      <c r="F153" s="162"/>
      <c r="G153" s="162"/>
      <c r="H153" s="162"/>
      <c r="I153" s="320" t="n">
        <f aca="false">I152*12</f>
        <v>106919.499</v>
      </c>
    </row>
  </sheetData>
  <mergeCells count="158">
    <mergeCell ref="A8:I8"/>
    <mergeCell ref="A9:I9"/>
    <mergeCell ref="A10:I10"/>
    <mergeCell ref="A11:I11"/>
    <mergeCell ref="A12:I12"/>
    <mergeCell ref="A13:I13"/>
    <mergeCell ref="A14:I14"/>
    <mergeCell ref="B15:H15"/>
    <mergeCell ref="B16:H16"/>
    <mergeCell ref="B17:H17"/>
    <mergeCell ref="B18:H18"/>
    <mergeCell ref="A19:I19"/>
    <mergeCell ref="A20:D20"/>
    <mergeCell ref="E20:F20"/>
    <mergeCell ref="G20:I20"/>
    <mergeCell ref="A21:D21"/>
    <mergeCell ref="E21:F22"/>
    <mergeCell ref="G21:I22"/>
    <mergeCell ref="A22:D22"/>
    <mergeCell ref="B23:I23"/>
    <mergeCell ref="A24:I24"/>
    <mergeCell ref="A25:I25"/>
    <mergeCell ref="A26:I26"/>
    <mergeCell ref="B27:H27"/>
    <mergeCell ref="B28:H28"/>
    <mergeCell ref="B29:H29"/>
    <mergeCell ref="B30:H30"/>
    <mergeCell ref="B31:H31"/>
    <mergeCell ref="B32:H32"/>
    <mergeCell ref="B33:H33"/>
    <mergeCell ref="A34:I34"/>
    <mergeCell ref="A35:I35"/>
    <mergeCell ref="B36:H36"/>
    <mergeCell ref="B37:H37"/>
    <mergeCell ref="B38:H38"/>
    <mergeCell ref="B39:H39"/>
    <mergeCell ref="B40:H40"/>
    <mergeCell ref="B41:H41"/>
    <mergeCell ref="B42:H42"/>
    <mergeCell ref="A43:H43"/>
    <mergeCell ref="A44:I44"/>
    <mergeCell ref="B45:H45"/>
    <mergeCell ref="A46:A48"/>
    <mergeCell ref="B46:H46"/>
    <mergeCell ref="B47:G47"/>
    <mergeCell ref="B48:G48"/>
    <mergeCell ref="A49:A50"/>
    <mergeCell ref="B49:H49"/>
    <mergeCell ref="B50:G50"/>
    <mergeCell ref="B51:H51"/>
    <mergeCell ref="A52:H52"/>
    <mergeCell ref="A53:I53"/>
    <mergeCell ref="A54:I54"/>
    <mergeCell ref="B55:H55"/>
    <mergeCell ref="B56:H56"/>
    <mergeCell ref="A57:H57"/>
    <mergeCell ref="A58:I58"/>
    <mergeCell ref="A59:I59"/>
    <mergeCell ref="B60:G60"/>
    <mergeCell ref="B61:G61"/>
    <mergeCell ref="B62:G62"/>
    <mergeCell ref="B63:G63"/>
    <mergeCell ref="B64:G64"/>
    <mergeCell ref="B65:G65"/>
    <mergeCell ref="B66:G66"/>
    <mergeCell ref="B67:E67"/>
    <mergeCell ref="B68:G68"/>
    <mergeCell ref="A69:G69"/>
    <mergeCell ref="A70:I70"/>
    <mergeCell ref="A71:I71"/>
    <mergeCell ref="A72:I72"/>
    <mergeCell ref="B73:H73"/>
    <mergeCell ref="B74:H74"/>
    <mergeCell ref="A75:H75"/>
    <mergeCell ref="B76:H76"/>
    <mergeCell ref="A77:H77"/>
    <mergeCell ref="A78:I78"/>
    <mergeCell ref="B79:H79"/>
    <mergeCell ref="B80:H80"/>
    <mergeCell ref="B81:H81"/>
    <mergeCell ref="A82:H82"/>
    <mergeCell ref="A83:I83"/>
    <mergeCell ref="B84:H84"/>
    <mergeCell ref="B85:H85"/>
    <mergeCell ref="B86:H86"/>
    <mergeCell ref="B87:H87"/>
    <mergeCell ref="B88:H88"/>
    <mergeCell ref="B89:H89"/>
    <mergeCell ref="B90:H90"/>
    <mergeCell ref="A91:H91"/>
    <mergeCell ref="A92:I92"/>
    <mergeCell ref="B93:H93"/>
    <mergeCell ref="B94:H94"/>
    <mergeCell ref="B95:H95"/>
    <mergeCell ref="B96:H96"/>
    <mergeCell ref="B97:H97"/>
    <mergeCell ref="B98:H98"/>
    <mergeCell ref="A99:H99"/>
    <mergeCell ref="B100:H100"/>
    <mergeCell ref="A101:H101"/>
    <mergeCell ref="A102:I102"/>
    <mergeCell ref="B103:H103"/>
    <mergeCell ref="B104:H104"/>
    <mergeCell ref="B105:H105"/>
    <mergeCell ref="B106:H106"/>
    <mergeCell ref="B107:H107"/>
    <mergeCell ref="B108:H108"/>
    <mergeCell ref="A109:H109"/>
    <mergeCell ref="A110:I110"/>
    <mergeCell ref="B111:G111"/>
    <mergeCell ref="A112:G112"/>
    <mergeCell ref="B113:G113"/>
    <mergeCell ref="A114:G114"/>
    <mergeCell ref="B115:G115"/>
    <mergeCell ref="A116:G116"/>
    <mergeCell ref="A117:A124"/>
    <mergeCell ref="B117:G117"/>
    <mergeCell ref="B118:G118"/>
    <mergeCell ref="B119:G119"/>
    <mergeCell ref="B120:G120"/>
    <mergeCell ref="B121:G121"/>
    <mergeCell ref="B122:G122"/>
    <mergeCell ref="B123:G123"/>
    <mergeCell ref="B124:G124"/>
    <mergeCell ref="A125:H125"/>
    <mergeCell ref="A126:G126"/>
    <mergeCell ref="A127:B128"/>
    <mergeCell ref="C127:I127"/>
    <mergeCell ref="C128:I128"/>
    <mergeCell ref="A129:I129"/>
    <mergeCell ref="A130:I130"/>
    <mergeCell ref="A131:I131"/>
    <mergeCell ref="A132:I132"/>
    <mergeCell ref="A133:I133"/>
    <mergeCell ref="A134:H134"/>
    <mergeCell ref="B135:H135"/>
    <mergeCell ref="B136:H136"/>
    <mergeCell ref="B137:H137"/>
    <mergeCell ref="B138:H138"/>
    <mergeCell ref="A139:H139"/>
    <mergeCell ref="B140:H140"/>
    <mergeCell ref="A141:H141"/>
    <mergeCell ref="A142:I142"/>
    <mergeCell ref="A143:I143"/>
    <mergeCell ref="A144:I144"/>
    <mergeCell ref="A145:B145"/>
    <mergeCell ref="C145:D145"/>
    <mergeCell ref="F145:G145"/>
    <mergeCell ref="A146:B146"/>
    <mergeCell ref="C146:D146"/>
    <mergeCell ref="F146:G146"/>
    <mergeCell ref="A147:I147"/>
    <mergeCell ref="A148:I148"/>
    <mergeCell ref="A149:I149"/>
    <mergeCell ref="A150:I150"/>
    <mergeCell ref="B151:H151"/>
    <mergeCell ref="B152:H152"/>
    <mergeCell ref="B153:H153"/>
  </mergeCells>
  <printOptions headings="false" gridLines="false" gridLinesSet="true" horizontalCentered="false" verticalCentered="false"/>
  <pageMargins left="0.698611111111111" right="0.698611111111111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7" man="true" max="16383" min="0"/>
    <brk id="109" man="true" max="16383" min="0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N153"/>
  <sheetViews>
    <sheetView showFormulas="false" showGridLines="true" showRowColHeaders="true" showZeros="true" rightToLeft="false" tabSelected="false" showOutlineSymbols="true" defaultGridColor="true" view="pageBreakPreview" topLeftCell="A138" colorId="64" zoomScale="76" zoomScaleNormal="100" zoomScalePageLayoutView="76" workbookViewId="0">
      <selection pane="topLeft" activeCell="I51" activeCellId="0" sqref="I51"/>
    </sheetView>
  </sheetViews>
  <sheetFormatPr defaultRowHeight="15" zeroHeight="false" outlineLevelRow="0" outlineLevelCol="0"/>
  <cols>
    <col collapsed="false" customWidth="true" hidden="false" outlineLevel="0" max="1" min="1" style="1" width="15.42"/>
    <col collapsed="false" customWidth="true" hidden="false" outlineLevel="0" max="2" min="2" style="1" width="12.14"/>
    <col collapsed="false" customWidth="true" hidden="false" outlineLevel="0" max="3" min="3" style="1" width="12.71"/>
    <col collapsed="false" customWidth="true" hidden="false" outlineLevel="0" max="4" min="4" style="1" width="14.43"/>
    <col collapsed="false" customWidth="true" hidden="false" outlineLevel="0" max="5" min="5" style="1" width="14.15"/>
    <col collapsed="false" customWidth="true" hidden="false" outlineLevel="0" max="6" min="6" style="1" width="15.71"/>
    <col collapsed="false" customWidth="true" hidden="false" outlineLevel="0" max="7" min="7" style="1" width="18.29"/>
    <col collapsed="false" customWidth="true" hidden="false" outlineLevel="0" max="8" min="8" style="1" width="23.01"/>
    <col collapsed="false" customWidth="true" hidden="false" outlineLevel="0" max="9" min="9" style="1" width="53.42"/>
    <col collapsed="false" customWidth="true" hidden="true" outlineLevel="0" max="11" min="10" style="1" width="9"/>
    <col collapsed="false" customWidth="true" hidden="false" outlineLevel="0" max="12" min="12" style="1" width="58.57"/>
    <col collapsed="false" customWidth="true" hidden="false" outlineLevel="0" max="1025" min="13" style="1" width="28.57"/>
  </cols>
  <sheetData>
    <row r="1" s="101" customFormat="true" ht="15.75" hidden="false" customHeight="false" outlineLevel="0" collapsed="false">
      <c r="A1" s="173" t="s">
        <v>178</v>
      </c>
      <c r="I1" s="209"/>
    </row>
    <row r="2" s="101" customFormat="true" ht="15.75" hidden="false" customHeight="false" outlineLevel="0" collapsed="false">
      <c r="A2" s="173" t="s">
        <v>179</v>
      </c>
      <c r="I2" s="209"/>
    </row>
    <row r="3" s="101" customFormat="true" ht="15.75" hidden="false" customHeight="false" outlineLevel="0" collapsed="false">
      <c r="A3" s="173" t="s">
        <v>180</v>
      </c>
      <c r="I3" s="209"/>
    </row>
    <row r="4" s="101" customFormat="true" ht="15.75" hidden="false" customHeight="false" outlineLevel="0" collapsed="false">
      <c r="A4" s="173" t="s">
        <v>181</v>
      </c>
      <c r="I4" s="209"/>
    </row>
    <row r="5" s="101" customFormat="true" ht="15.75" hidden="false" customHeight="false" outlineLevel="0" collapsed="false">
      <c r="A5" s="173" t="s">
        <v>182</v>
      </c>
      <c r="I5" s="209"/>
    </row>
    <row r="6" s="101" customFormat="true" ht="15.75" hidden="false" customHeight="false" outlineLevel="0" collapsed="false">
      <c r="A6" s="173" t="s">
        <v>183</v>
      </c>
      <c r="I6" s="209"/>
    </row>
    <row r="7" customFormat="false" ht="15.75" hidden="false" customHeight="false" outlineLevel="0" collapsed="false">
      <c r="A7" s="174" t="s">
        <v>184</v>
      </c>
      <c r="I7" s="171"/>
    </row>
    <row r="8" customFormat="false" ht="15.75" hidden="false" customHeight="false" outlineLevel="0" collapsed="false">
      <c r="A8" s="263" t="s">
        <v>1</v>
      </c>
      <c r="B8" s="263"/>
      <c r="C8" s="263"/>
      <c r="D8" s="263"/>
      <c r="E8" s="263"/>
      <c r="F8" s="263"/>
      <c r="G8" s="263"/>
      <c r="H8" s="263"/>
      <c r="I8" s="263"/>
    </row>
    <row r="9" customFormat="false" ht="15.75" hidden="false" customHeight="false" outlineLevel="0" collapsed="false">
      <c r="A9" s="4" t="s">
        <v>2</v>
      </c>
      <c r="B9" s="4"/>
      <c r="C9" s="4"/>
      <c r="D9" s="4"/>
      <c r="E9" s="4"/>
      <c r="F9" s="4"/>
      <c r="G9" s="4"/>
      <c r="H9" s="4"/>
      <c r="I9" s="4"/>
    </row>
    <row r="10" customFormat="false" ht="15.75" hidden="false" customHeight="false" outlineLevel="0" collapsed="false">
      <c r="A10" s="5" t="s">
        <v>3</v>
      </c>
      <c r="B10" s="5"/>
      <c r="C10" s="5"/>
      <c r="D10" s="5"/>
      <c r="E10" s="5"/>
      <c r="F10" s="5"/>
      <c r="G10" s="5"/>
      <c r="H10" s="5"/>
      <c r="I10" s="5"/>
    </row>
    <row r="11" customFormat="false" ht="15.75" hidden="false" customHeight="false" outlineLevel="0" collapsed="false">
      <c r="A11" s="6" t="s">
        <v>4</v>
      </c>
      <c r="B11" s="6"/>
      <c r="C11" s="6"/>
      <c r="D11" s="6"/>
      <c r="E11" s="6"/>
      <c r="F11" s="6"/>
      <c r="G11" s="6"/>
      <c r="H11" s="6"/>
      <c r="I11" s="6"/>
    </row>
    <row r="12" customFormat="false" ht="15.75" hidden="false" customHeight="false" outlineLevel="0" collapsed="false">
      <c r="A12" s="7" t="s">
        <v>5</v>
      </c>
      <c r="B12" s="7"/>
      <c r="C12" s="7"/>
      <c r="D12" s="7"/>
      <c r="E12" s="7"/>
      <c r="F12" s="7"/>
      <c r="G12" s="7"/>
      <c r="H12" s="7"/>
      <c r="I12" s="7"/>
    </row>
    <row r="13" customFormat="false" ht="15.75" hidden="false" customHeight="false" outlineLevel="0" collapsed="false">
      <c r="A13" s="8" t="s">
        <v>6</v>
      </c>
      <c r="B13" s="8"/>
      <c r="C13" s="8"/>
      <c r="D13" s="8"/>
      <c r="E13" s="8"/>
      <c r="F13" s="8"/>
      <c r="G13" s="8"/>
      <c r="H13" s="8"/>
      <c r="I13" s="8"/>
    </row>
    <row r="14" customFormat="false" ht="15.75" hidden="false" customHeight="false" outlineLevel="0" collapsed="false">
      <c r="A14" s="179" t="s">
        <v>7</v>
      </c>
      <c r="B14" s="179"/>
      <c r="C14" s="179"/>
      <c r="D14" s="179"/>
      <c r="E14" s="179"/>
      <c r="F14" s="179"/>
      <c r="G14" s="179"/>
      <c r="H14" s="179"/>
      <c r="I14" s="179"/>
    </row>
    <row r="15" customFormat="false" ht="15.75" hidden="false" customHeight="false" outlineLevel="0" collapsed="false">
      <c r="A15" s="10" t="s">
        <v>8</v>
      </c>
      <c r="B15" s="11" t="s">
        <v>9</v>
      </c>
      <c r="C15" s="11"/>
      <c r="D15" s="11"/>
      <c r="E15" s="11"/>
      <c r="F15" s="11"/>
      <c r="G15" s="11"/>
      <c r="H15" s="11"/>
      <c r="I15" s="307"/>
      <c r="L15" s="13"/>
    </row>
    <row r="16" customFormat="false" ht="15.75" hidden="false" customHeight="false" outlineLevel="0" collapsed="false">
      <c r="A16" s="14" t="s">
        <v>10</v>
      </c>
      <c r="B16" s="15" t="s">
        <v>11</v>
      </c>
      <c r="C16" s="15"/>
      <c r="D16" s="15"/>
      <c r="E16" s="15"/>
      <c r="F16" s="15"/>
      <c r="G16" s="15"/>
      <c r="H16" s="15"/>
      <c r="I16" s="308" t="s">
        <v>223</v>
      </c>
      <c r="L16" s="13"/>
    </row>
    <row r="17" customFormat="false" ht="47.25" hidden="false" customHeight="true" outlineLevel="0" collapsed="false">
      <c r="A17" s="17" t="s">
        <v>12</v>
      </c>
      <c r="B17" s="18" t="s">
        <v>13</v>
      </c>
      <c r="C17" s="18"/>
      <c r="D17" s="18"/>
      <c r="E17" s="18"/>
      <c r="F17" s="18"/>
      <c r="G17" s="18"/>
      <c r="H17" s="18"/>
      <c r="I17" s="37" t="s">
        <v>186</v>
      </c>
      <c r="L17" s="13"/>
    </row>
    <row r="18" customFormat="false" ht="15.75" hidden="false" customHeight="false" outlineLevel="0" collapsed="false">
      <c r="A18" s="20" t="s">
        <v>14</v>
      </c>
      <c r="B18" s="21" t="s">
        <v>15</v>
      </c>
      <c r="C18" s="21"/>
      <c r="D18" s="21"/>
      <c r="E18" s="21"/>
      <c r="F18" s="21"/>
      <c r="G18" s="21"/>
      <c r="H18" s="21"/>
      <c r="I18" s="309" t="n">
        <v>12</v>
      </c>
    </row>
    <row r="19" customFormat="false" ht="15.75" hidden="false" customHeight="false" outlineLevel="0" collapsed="false">
      <c r="A19" s="179" t="s">
        <v>16</v>
      </c>
      <c r="B19" s="179"/>
      <c r="C19" s="179"/>
      <c r="D19" s="179"/>
      <c r="E19" s="179"/>
      <c r="F19" s="179"/>
      <c r="G19" s="179"/>
      <c r="H19" s="179"/>
      <c r="I19" s="179"/>
    </row>
    <row r="20" customFormat="false" ht="15.75" hidden="false" customHeight="false" outlineLevel="0" collapsed="false">
      <c r="A20" s="23" t="s">
        <v>17</v>
      </c>
      <c r="B20" s="23"/>
      <c r="C20" s="23"/>
      <c r="D20" s="23"/>
      <c r="E20" s="24" t="s">
        <v>18</v>
      </c>
      <c r="F20" s="24"/>
      <c r="G20" s="25" t="s">
        <v>19</v>
      </c>
      <c r="H20" s="25"/>
      <c r="I20" s="25"/>
    </row>
    <row r="21" customFormat="false" ht="15.75" hidden="false" customHeight="true" outlineLevel="0" collapsed="false">
      <c r="A21" s="26" t="s">
        <v>20</v>
      </c>
      <c r="B21" s="26"/>
      <c r="C21" s="26"/>
      <c r="D21" s="26"/>
      <c r="E21" s="27" t="s">
        <v>21</v>
      </c>
      <c r="F21" s="27"/>
      <c r="G21" s="328" t="n">
        <v>1</v>
      </c>
      <c r="H21" s="328"/>
      <c r="I21" s="328"/>
    </row>
    <row r="22" customFormat="false" ht="32.25" hidden="false" customHeight="true" outlineLevel="0" collapsed="false">
      <c r="A22" s="332" t="s">
        <v>234</v>
      </c>
      <c r="B22" s="332"/>
      <c r="C22" s="332"/>
      <c r="D22" s="332"/>
      <c r="E22" s="27"/>
      <c r="F22" s="27"/>
      <c r="G22" s="328"/>
      <c r="H22" s="328"/>
      <c r="I22" s="328"/>
      <c r="L22" s="30"/>
    </row>
    <row r="23" customFormat="false" ht="15.75" hidden="false" customHeight="false" outlineLevel="0" collapsed="false">
      <c r="A23" s="31"/>
      <c r="B23" s="269"/>
      <c r="C23" s="269"/>
      <c r="D23" s="269"/>
      <c r="E23" s="269"/>
      <c r="F23" s="269"/>
      <c r="G23" s="269"/>
      <c r="H23" s="269"/>
      <c r="I23" s="269"/>
    </row>
    <row r="24" customFormat="false" ht="15.75" hidden="false" customHeight="false" outlineLevel="0" collapsed="false">
      <c r="A24" s="33" t="s">
        <v>22</v>
      </c>
      <c r="B24" s="33"/>
      <c r="C24" s="33"/>
      <c r="D24" s="33"/>
      <c r="E24" s="33"/>
      <c r="F24" s="33"/>
      <c r="G24" s="33"/>
      <c r="H24" s="33"/>
      <c r="I24" s="33"/>
    </row>
    <row r="25" customFormat="false" ht="15.75" hidden="false" customHeight="false" outlineLevel="0" collapsed="false">
      <c r="A25" s="34" t="s">
        <v>23</v>
      </c>
      <c r="B25" s="34"/>
      <c r="C25" s="34"/>
      <c r="D25" s="34"/>
      <c r="E25" s="34"/>
      <c r="F25" s="34"/>
      <c r="G25" s="34"/>
      <c r="H25" s="34"/>
      <c r="I25" s="34"/>
    </row>
    <row r="26" customFormat="false" ht="15.75" hidden="false" customHeight="false" outlineLevel="0" collapsed="false">
      <c r="A26" s="35" t="s">
        <v>24</v>
      </c>
      <c r="B26" s="35"/>
      <c r="C26" s="35"/>
      <c r="D26" s="35"/>
      <c r="E26" s="35"/>
      <c r="F26" s="35"/>
      <c r="G26" s="35"/>
      <c r="H26" s="35"/>
      <c r="I26" s="35"/>
    </row>
    <row r="27" customFormat="false" ht="15.75" hidden="false" customHeight="true" outlineLevel="0" collapsed="false">
      <c r="A27" s="14" t="n">
        <v>1</v>
      </c>
      <c r="B27" s="36" t="s">
        <v>25</v>
      </c>
      <c r="C27" s="36"/>
      <c r="D27" s="36"/>
      <c r="E27" s="36"/>
      <c r="F27" s="36"/>
      <c r="G27" s="36"/>
      <c r="H27" s="36"/>
      <c r="I27" s="37" t="s">
        <v>26</v>
      </c>
    </row>
    <row r="28" customFormat="false" ht="15.75" hidden="false" customHeight="true" outlineLevel="0" collapsed="false">
      <c r="A28" s="14" t="n">
        <v>2</v>
      </c>
      <c r="B28" s="38" t="s">
        <v>27</v>
      </c>
      <c r="C28" s="38"/>
      <c r="D28" s="38"/>
      <c r="E28" s="38"/>
      <c r="F28" s="38"/>
      <c r="G28" s="38"/>
      <c r="H28" s="38"/>
      <c r="I28" s="308" t="n">
        <f aca="false">Dados!B2</f>
        <v>1305.17</v>
      </c>
    </row>
    <row r="29" customFormat="false" ht="15.75" hidden="false" customHeight="true" outlineLevel="0" collapsed="false">
      <c r="A29" s="14" t="n">
        <v>3</v>
      </c>
      <c r="B29" s="38" t="s">
        <v>28</v>
      </c>
      <c r="C29" s="38"/>
      <c r="D29" s="38"/>
      <c r="E29" s="38"/>
      <c r="F29" s="38"/>
      <c r="G29" s="38"/>
      <c r="H29" s="38"/>
      <c r="I29" s="308" t="s">
        <v>188</v>
      </c>
    </row>
    <row r="30" customFormat="false" ht="15.75" hidden="false" customHeight="true" outlineLevel="0" collapsed="false">
      <c r="A30" s="40" t="n">
        <v>4</v>
      </c>
      <c r="B30" s="329" t="s">
        <v>29</v>
      </c>
      <c r="C30" s="329"/>
      <c r="D30" s="329"/>
      <c r="E30" s="329"/>
      <c r="F30" s="329"/>
      <c r="G30" s="329"/>
      <c r="H30" s="329"/>
      <c r="I30" s="311" t="n">
        <v>42005</v>
      </c>
    </row>
    <row r="31" customFormat="false" ht="15.75" hidden="false" customHeight="true" outlineLevel="0" collapsed="false">
      <c r="A31" s="40" t="n">
        <v>5</v>
      </c>
      <c r="B31" s="38" t="s">
        <v>30</v>
      </c>
      <c r="C31" s="38"/>
      <c r="D31" s="38"/>
      <c r="E31" s="38"/>
      <c r="F31" s="38"/>
      <c r="G31" s="38"/>
      <c r="H31" s="38"/>
      <c r="I31" s="311" t="n">
        <f aca="false">I28/220</f>
        <v>5.93259090909091</v>
      </c>
    </row>
    <row r="32" customFormat="false" ht="15.75" hidden="false" customHeight="true" outlineLevel="0" collapsed="false">
      <c r="A32" s="40" t="n">
        <v>6</v>
      </c>
      <c r="B32" s="38" t="s">
        <v>31</v>
      </c>
      <c r="C32" s="38"/>
      <c r="D32" s="38"/>
      <c r="E32" s="38"/>
      <c r="F32" s="38"/>
      <c r="G32" s="38"/>
      <c r="H32" s="38"/>
      <c r="I32" s="311" t="n">
        <f aca="false">I31*1.5</f>
        <v>8.89888636363636</v>
      </c>
    </row>
    <row r="33" customFormat="false" ht="16.5" hidden="false" customHeight="true" outlineLevel="0" collapsed="false">
      <c r="A33" s="20" t="n">
        <v>7</v>
      </c>
      <c r="B33" s="44" t="s">
        <v>32</v>
      </c>
      <c r="C33" s="44"/>
      <c r="D33" s="44"/>
      <c r="E33" s="44"/>
      <c r="F33" s="44"/>
      <c r="G33" s="44"/>
      <c r="H33" s="44"/>
      <c r="I33" s="309" t="n">
        <f aca="false">I31*0.2</f>
        <v>1.18651818181818</v>
      </c>
    </row>
    <row r="34" customFormat="false" ht="15.75" hidden="false" customHeight="false" outlineLevel="0" collapsed="false">
      <c r="A34" s="271"/>
      <c r="B34" s="271"/>
      <c r="C34" s="271"/>
      <c r="D34" s="271"/>
      <c r="E34" s="271"/>
      <c r="F34" s="271"/>
      <c r="G34" s="271"/>
      <c r="H34" s="271"/>
      <c r="I34" s="271"/>
    </row>
    <row r="35" customFormat="false" ht="15.75" hidden="false" customHeight="false" outlineLevel="0" collapsed="false">
      <c r="A35" s="47" t="s">
        <v>33</v>
      </c>
      <c r="B35" s="47"/>
      <c r="C35" s="47"/>
      <c r="D35" s="47"/>
      <c r="E35" s="47"/>
      <c r="F35" s="47"/>
      <c r="G35" s="47"/>
      <c r="H35" s="47"/>
      <c r="I35" s="47"/>
    </row>
    <row r="36" customFormat="false" ht="15.75" hidden="false" customHeight="false" outlineLevel="0" collapsed="false">
      <c r="A36" s="48" t="n">
        <v>1</v>
      </c>
      <c r="B36" s="49" t="s">
        <v>34</v>
      </c>
      <c r="C36" s="49"/>
      <c r="D36" s="49"/>
      <c r="E36" s="49"/>
      <c r="F36" s="49"/>
      <c r="G36" s="49"/>
      <c r="H36" s="49"/>
      <c r="I36" s="204" t="s">
        <v>35</v>
      </c>
      <c r="L36" s="51"/>
    </row>
    <row r="37" customFormat="false" ht="15.75" hidden="false" customHeight="false" outlineLevel="0" collapsed="false">
      <c r="A37" s="17" t="s">
        <v>8</v>
      </c>
      <c r="B37" s="52" t="s">
        <v>36</v>
      </c>
      <c r="C37" s="52"/>
      <c r="D37" s="52"/>
      <c r="E37" s="52"/>
      <c r="F37" s="52"/>
      <c r="G37" s="52"/>
      <c r="H37" s="52"/>
      <c r="I37" s="207" t="n">
        <f aca="false">ROUND(I28*2,2)</f>
        <v>2610.34</v>
      </c>
      <c r="L37" s="51"/>
    </row>
    <row r="38" customFormat="false" ht="30.75" hidden="false" customHeight="true" outlineLevel="0" collapsed="false">
      <c r="A38" s="17" t="s">
        <v>10</v>
      </c>
      <c r="B38" s="54" t="s">
        <v>218</v>
      </c>
      <c r="C38" s="54"/>
      <c r="D38" s="54"/>
      <c r="E38" s="54"/>
      <c r="F38" s="54"/>
      <c r="G38" s="54"/>
      <c r="H38" s="54"/>
      <c r="I38" s="207" t="n">
        <f aca="false">ROUND((I32*21*2)+(I32*5*2*(15/60)),2)</f>
        <v>396</v>
      </c>
      <c r="L38" s="55"/>
    </row>
    <row r="39" customFormat="false" ht="30" hidden="false" customHeight="true" outlineLevel="0" collapsed="false">
      <c r="A39" s="17" t="s">
        <v>12</v>
      </c>
      <c r="B39" s="54" t="s">
        <v>231</v>
      </c>
      <c r="C39" s="54"/>
      <c r="D39" s="54"/>
      <c r="E39" s="54"/>
      <c r="F39" s="54"/>
      <c r="G39" s="54"/>
      <c r="H39" s="54"/>
      <c r="I39" s="207" t="n">
        <f aca="false">ROUND(I33*1*(60/52.5)*21,2)</f>
        <v>28.48</v>
      </c>
      <c r="L39" s="55"/>
    </row>
    <row r="40" customFormat="false" ht="30" hidden="false" customHeight="true" outlineLevel="0" collapsed="false">
      <c r="A40" s="17" t="s">
        <v>14</v>
      </c>
      <c r="B40" s="54" t="s">
        <v>205</v>
      </c>
      <c r="C40" s="54"/>
      <c r="D40" s="54"/>
      <c r="E40" s="54"/>
      <c r="F40" s="54"/>
      <c r="G40" s="54"/>
      <c r="H40" s="54"/>
      <c r="I40" s="207" t="n">
        <f aca="false">ROUND(I32*21*(60/52.5-1),2)</f>
        <v>26.7</v>
      </c>
      <c r="L40" s="55"/>
    </row>
    <row r="41" customFormat="false" ht="15.75" hidden="false" customHeight="false" outlineLevel="0" collapsed="false">
      <c r="A41" s="17" t="s">
        <v>40</v>
      </c>
      <c r="B41" s="52" t="s">
        <v>235</v>
      </c>
      <c r="C41" s="52"/>
      <c r="D41" s="52"/>
      <c r="E41" s="52"/>
      <c r="F41" s="52"/>
      <c r="G41" s="52"/>
      <c r="H41" s="52"/>
      <c r="I41" s="207" t="n">
        <f aca="false">ROUND(I31*2*2*10,2)</f>
        <v>237.3</v>
      </c>
      <c r="L41" s="57"/>
    </row>
    <row r="42" customFormat="false" ht="21" hidden="false" customHeight="true" outlineLevel="0" collapsed="false">
      <c r="A42" s="274" t="s">
        <v>42</v>
      </c>
      <c r="B42" s="58" t="s">
        <v>43</v>
      </c>
      <c r="C42" s="58"/>
      <c r="D42" s="58"/>
      <c r="E42" s="58"/>
      <c r="F42" s="58"/>
      <c r="G42" s="58"/>
      <c r="H42" s="58"/>
      <c r="I42" s="216" t="n">
        <f aca="false">SUM(I38:I41)*0.2</f>
        <v>137.696</v>
      </c>
      <c r="K42" s="59"/>
    </row>
    <row r="43" customFormat="false" ht="15.75" hidden="false" customHeight="false" outlineLevel="0" collapsed="false">
      <c r="A43" s="60" t="s">
        <v>44</v>
      </c>
      <c r="B43" s="60"/>
      <c r="C43" s="60"/>
      <c r="D43" s="60"/>
      <c r="E43" s="60"/>
      <c r="F43" s="60"/>
      <c r="G43" s="60"/>
      <c r="H43" s="60"/>
      <c r="I43" s="210" t="n">
        <f aca="false">SUM(I37:I42)</f>
        <v>3436.516</v>
      </c>
    </row>
    <row r="44" customFormat="false" ht="15.75" hidden="false" customHeight="false" outlineLevel="0" collapsed="false">
      <c r="A44" s="47" t="s">
        <v>45</v>
      </c>
      <c r="B44" s="47"/>
      <c r="C44" s="47"/>
      <c r="D44" s="47"/>
      <c r="E44" s="47"/>
      <c r="F44" s="47"/>
      <c r="G44" s="47"/>
      <c r="H44" s="47"/>
      <c r="I44" s="47"/>
    </row>
    <row r="45" customFormat="false" ht="15.75" hidden="false" customHeight="false" outlineLevel="0" collapsed="false">
      <c r="A45" s="62" t="n">
        <v>2</v>
      </c>
      <c r="B45" s="63" t="s">
        <v>46</v>
      </c>
      <c r="C45" s="63"/>
      <c r="D45" s="63"/>
      <c r="E45" s="63"/>
      <c r="F45" s="63"/>
      <c r="G45" s="63"/>
      <c r="H45" s="63"/>
      <c r="I45" s="204" t="s">
        <v>35</v>
      </c>
    </row>
    <row r="46" customFormat="false" ht="15.75" hidden="false" customHeight="true" outlineLevel="0" collapsed="false">
      <c r="A46" s="64" t="s">
        <v>8</v>
      </c>
      <c r="B46" s="54" t="s">
        <v>206</v>
      </c>
      <c r="C46" s="54"/>
      <c r="D46" s="54"/>
      <c r="E46" s="54"/>
      <c r="F46" s="54"/>
      <c r="G46" s="54"/>
      <c r="H46" s="54"/>
      <c r="I46" s="312" t="n">
        <f aca="false">ROUND((2*H48*H47*26)-(0.06*I37),2)</f>
        <v>222.98</v>
      </c>
      <c r="L46" s="66"/>
    </row>
    <row r="47" customFormat="false" ht="32.25" hidden="false" customHeight="true" outlineLevel="0" collapsed="false">
      <c r="A47" s="64"/>
      <c r="B47" s="277" t="s">
        <v>232</v>
      </c>
      <c r="C47" s="277"/>
      <c r="D47" s="277"/>
      <c r="E47" s="277"/>
      <c r="F47" s="277"/>
      <c r="G47" s="277"/>
      <c r="H47" s="278" t="n">
        <f aca="false">Dados!B10</f>
        <v>3.65</v>
      </c>
      <c r="I47" s="312"/>
    </row>
    <row r="48" customFormat="false" ht="15.75" hidden="false" customHeight="false" outlineLevel="0" collapsed="false">
      <c r="A48" s="64"/>
      <c r="B48" s="69" t="s">
        <v>49</v>
      </c>
      <c r="C48" s="69"/>
      <c r="D48" s="69"/>
      <c r="E48" s="69"/>
      <c r="F48" s="69"/>
      <c r="G48" s="69"/>
      <c r="H48" s="70" t="n">
        <v>2</v>
      </c>
      <c r="I48" s="312"/>
    </row>
    <row r="49" customFormat="false" ht="15.75" hidden="false" customHeight="true" outlineLevel="0" collapsed="false">
      <c r="A49" s="64" t="s">
        <v>10</v>
      </c>
      <c r="B49" s="54" t="s">
        <v>50</v>
      </c>
      <c r="C49" s="54"/>
      <c r="D49" s="54"/>
      <c r="E49" s="54"/>
      <c r="F49" s="54"/>
      <c r="G49" s="54"/>
      <c r="H49" s="54"/>
      <c r="I49" s="312" t="n">
        <f aca="false">ROUND(((2*21*H50)+(2*5*Dados!B4))*(1-0.18),2)</f>
        <v>644.73</v>
      </c>
    </row>
    <row r="50" customFormat="false" ht="15.75" hidden="false" customHeight="false" outlineLevel="0" collapsed="false">
      <c r="A50" s="64"/>
      <c r="B50" s="69" t="s">
        <v>51</v>
      </c>
      <c r="C50" s="69"/>
      <c r="D50" s="69"/>
      <c r="E50" s="69"/>
      <c r="F50" s="69"/>
      <c r="G50" s="69"/>
      <c r="H50" s="280" t="n">
        <f aca="false">Dados!B3</f>
        <v>16.73</v>
      </c>
      <c r="I50" s="223"/>
    </row>
    <row r="51" customFormat="false" ht="29.25" hidden="false" customHeight="true" outlineLevel="0" collapsed="false">
      <c r="A51" s="17" t="s">
        <v>12</v>
      </c>
      <c r="B51" s="58" t="s">
        <v>194</v>
      </c>
      <c r="C51" s="58"/>
      <c r="D51" s="58"/>
      <c r="E51" s="58"/>
      <c r="F51" s="58"/>
      <c r="G51" s="58"/>
      <c r="H51" s="58"/>
      <c r="I51" s="312" t="n">
        <f aca="false">ROUND(Dados!B5*2,2)</f>
        <v>30.04</v>
      </c>
    </row>
    <row r="52" customFormat="false" ht="15.75" hidden="false" customHeight="false" outlineLevel="0" collapsed="false">
      <c r="A52" s="60" t="s">
        <v>53</v>
      </c>
      <c r="B52" s="60"/>
      <c r="C52" s="60"/>
      <c r="D52" s="60"/>
      <c r="E52" s="60"/>
      <c r="F52" s="60"/>
      <c r="G52" s="60"/>
      <c r="H52" s="60"/>
      <c r="I52" s="210" t="n">
        <f aca="false">SUM(I46:I51)</f>
        <v>897.75</v>
      </c>
    </row>
    <row r="53" customFormat="false" ht="15.75" hidden="false" customHeight="false" outlineLevel="0" collapsed="false">
      <c r="A53" s="73" t="s">
        <v>54</v>
      </c>
      <c r="B53" s="73"/>
      <c r="C53" s="73"/>
      <c r="D53" s="73"/>
      <c r="E53" s="73"/>
      <c r="F53" s="73"/>
      <c r="G53" s="73"/>
      <c r="H53" s="73"/>
      <c r="I53" s="73"/>
    </row>
    <row r="54" customFormat="false" ht="15.75" hidden="false" customHeight="false" outlineLevel="0" collapsed="false">
      <c r="A54" s="47" t="s">
        <v>55</v>
      </c>
      <c r="B54" s="47"/>
      <c r="C54" s="47"/>
      <c r="D54" s="47"/>
      <c r="E54" s="47"/>
      <c r="F54" s="47"/>
      <c r="G54" s="47"/>
      <c r="H54" s="47"/>
      <c r="I54" s="47"/>
    </row>
    <row r="55" customFormat="false" ht="15.75" hidden="false" customHeight="false" outlineLevel="0" collapsed="false">
      <c r="A55" s="62" t="n">
        <v>3</v>
      </c>
      <c r="B55" s="63" t="s">
        <v>56</v>
      </c>
      <c r="C55" s="63"/>
      <c r="D55" s="63"/>
      <c r="E55" s="63"/>
      <c r="F55" s="63"/>
      <c r="G55" s="63"/>
      <c r="H55" s="63"/>
      <c r="I55" s="204" t="s">
        <v>35</v>
      </c>
    </row>
    <row r="56" customFormat="false" ht="15.75" hidden="false" customHeight="false" outlineLevel="0" collapsed="false">
      <c r="A56" s="64" t="s">
        <v>8</v>
      </c>
      <c r="B56" s="74" t="s">
        <v>233</v>
      </c>
      <c r="C56" s="74"/>
      <c r="D56" s="74"/>
      <c r="E56" s="74"/>
      <c r="F56" s="74"/>
      <c r="G56" s="74"/>
      <c r="H56" s="74"/>
      <c r="I56" s="75" t="n">
        <f aca="false">Dados!D6*2</f>
        <v>137.67625</v>
      </c>
      <c r="J56" s="76"/>
      <c r="K56" s="77"/>
    </row>
    <row r="57" customFormat="false" ht="15.75" hidden="false" customHeight="false" outlineLevel="0" collapsed="false">
      <c r="A57" s="60" t="s">
        <v>58</v>
      </c>
      <c r="B57" s="60"/>
      <c r="C57" s="60"/>
      <c r="D57" s="60"/>
      <c r="E57" s="60"/>
      <c r="F57" s="60"/>
      <c r="G57" s="60"/>
      <c r="H57" s="60"/>
      <c r="I57" s="78" t="n">
        <f aca="false">SUM(I56:I56)</f>
        <v>137.67625</v>
      </c>
    </row>
    <row r="58" customFormat="false" ht="15.75" hidden="false" customHeight="false" outlineLevel="0" collapsed="false">
      <c r="A58" s="47" t="s">
        <v>59</v>
      </c>
      <c r="B58" s="47"/>
      <c r="C58" s="47"/>
      <c r="D58" s="47"/>
      <c r="E58" s="47"/>
      <c r="F58" s="47"/>
      <c r="G58" s="47"/>
      <c r="H58" s="47"/>
      <c r="I58" s="47"/>
    </row>
    <row r="59" customFormat="false" ht="15.75" hidden="false" customHeight="false" outlineLevel="0" collapsed="false">
      <c r="A59" s="79" t="s">
        <v>60</v>
      </c>
      <c r="B59" s="79"/>
      <c r="C59" s="79"/>
      <c r="D59" s="79"/>
      <c r="E59" s="79"/>
      <c r="F59" s="79"/>
      <c r="G59" s="79"/>
      <c r="H59" s="79"/>
      <c r="I59" s="79"/>
    </row>
    <row r="60" customFormat="false" ht="15.75" hidden="false" customHeight="false" outlineLevel="0" collapsed="false">
      <c r="A60" s="62" t="s">
        <v>61</v>
      </c>
      <c r="B60" s="80" t="s">
        <v>62</v>
      </c>
      <c r="C60" s="80"/>
      <c r="D60" s="80"/>
      <c r="E60" s="80"/>
      <c r="F60" s="80"/>
      <c r="G60" s="80"/>
      <c r="H60" s="81" t="s">
        <v>63</v>
      </c>
      <c r="I60" s="204" t="s">
        <v>35</v>
      </c>
    </row>
    <row r="61" customFormat="false" ht="15.75" hidden="false" customHeight="false" outlineLevel="0" collapsed="false">
      <c r="A61" s="82" t="s">
        <v>8</v>
      </c>
      <c r="B61" s="83" t="s">
        <v>64</v>
      </c>
      <c r="C61" s="83"/>
      <c r="D61" s="83"/>
      <c r="E61" s="83"/>
      <c r="F61" s="83"/>
      <c r="G61" s="83"/>
      <c r="H61" s="84" t="n">
        <v>0.2</v>
      </c>
      <c r="I61" s="207" t="n">
        <f aca="false">ROUND(($I$43-$I$38)*H61,2)</f>
        <v>608.1</v>
      </c>
      <c r="K61" s="66"/>
    </row>
    <row r="62" customFormat="false" ht="15.75" hidden="false" customHeight="false" outlineLevel="0" collapsed="false">
      <c r="A62" s="82" t="s">
        <v>10</v>
      </c>
      <c r="B62" s="83" t="s">
        <v>65</v>
      </c>
      <c r="C62" s="83"/>
      <c r="D62" s="83"/>
      <c r="E62" s="83"/>
      <c r="F62" s="83"/>
      <c r="G62" s="83"/>
      <c r="H62" s="85" t="n">
        <v>0.015</v>
      </c>
      <c r="I62" s="207" t="n">
        <f aca="false">ROUND(($I$43-$I$38)*H62,2)</f>
        <v>45.61</v>
      </c>
      <c r="K62" s="66"/>
    </row>
    <row r="63" customFormat="false" ht="15.75" hidden="false" customHeight="false" outlineLevel="0" collapsed="false">
      <c r="A63" s="82" t="s">
        <v>12</v>
      </c>
      <c r="B63" s="83" t="s">
        <v>66</v>
      </c>
      <c r="C63" s="83"/>
      <c r="D63" s="83"/>
      <c r="E63" s="83"/>
      <c r="F63" s="83"/>
      <c r="G63" s="83"/>
      <c r="H63" s="84" t="n">
        <v>0.01</v>
      </c>
      <c r="I63" s="207" t="n">
        <f aca="false">ROUND(($I$43-$I$38)*H63,2)</f>
        <v>30.41</v>
      </c>
      <c r="K63" s="66"/>
    </row>
    <row r="64" customFormat="false" ht="15.75" hidden="false" customHeight="false" outlineLevel="0" collapsed="false">
      <c r="A64" s="82" t="s">
        <v>14</v>
      </c>
      <c r="B64" s="83" t="s">
        <v>67</v>
      </c>
      <c r="C64" s="83"/>
      <c r="D64" s="83"/>
      <c r="E64" s="83"/>
      <c r="F64" s="83"/>
      <c r="G64" s="83"/>
      <c r="H64" s="86" t="n">
        <v>0.002</v>
      </c>
      <c r="I64" s="207" t="n">
        <f aca="false">ROUND(($I$43-$I$38)*H64,2)</f>
        <v>6.08</v>
      </c>
      <c r="K64" s="66"/>
    </row>
    <row r="65" customFormat="false" ht="15.75" hidden="false" customHeight="false" outlineLevel="0" collapsed="false">
      <c r="A65" s="82" t="s">
        <v>40</v>
      </c>
      <c r="B65" s="83" t="s">
        <v>68</v>
      </c>
      <c r="C65" s="83"/>
      <c r="D65" s="83"/>
      <c r="E65" s="83"/>
      <c r="F65" s="83"/>
      <c r="G65" s="83"/>
      <c r="H65" s="86" t="n">
        <v>0.025</v>
      </c>
      <c r="I65" s="207" t="n">
        <f aca="false">ROUND(($I$43-$I$38)*H65,2)</f>
        <v>76.01</v>
      </c>
      <c r="K65" s="66"/>
    </row>
    <row r="66" customFormat="false" ht="15.75" hidden="false" customHeight="false" outlineLevel="0" collapsed="false">
      <c r="A66" s="82" t="s">
        <v>42</v>
      </c>
      <c r="B66" s="83" t="s">
        <v>69</v>
      </c>
      <c r="C66" s="83"/>
      <c r="D66" s="83"/>
      <c r="E66" s="83"/>
      <c r="F66" s="83"/>
      <c r="G66" s="83"/>
      <c r="H66" s="84" t="n">
        <v>0.08</v>
      </c>
      <c r="I66" s="207" t="n">
        <f aca="false">ROUND(($I$43-$I$38)*H66,2)</f>
        <v>243.24</v>
      </c>
      <c r="K66" s="66"/>
    </row>
    <row r="67" customFormat="false" ht="15.75" hidden="false" customHeight="false" outlineLevel="0" collapsed="false">
      <c r="A67" s="82" t="s">
        <v>70</v>
      </c>
      <c r="B67" s="87" t="s">
        <v>71</v>
      </c>
      <c r="C67" s="87"/>
      <c r="D67" s="87"/>
      <c r="E67" s="87"/>
      <c r="F67" s="88" t="s">
        <v>72</v>
      </c>
      <c r="G67" s="89" t="s">
        <v>196</v>
      </c>
      <c r="H67" s="86" t="n">
        <v>0.015</v>
      </c>
      <c r="I67" s="207" t="n">
        <f aca="false">ROUND(($I$43-$I$38)*H67,2)</f>
        <v>45.61</v>
      </c>
      <c r="K67" s="66"/>
    </row>
    <row r="68" customFormat="false" ht="15.75" hidden="false" customHeight="false" outlineLevel="0" collapsed="false">
      <c r="A68" s="82" t="s">
        <v>74</v>
      </c>
      <c r="B68" s="83" t="s">
        <v>75</v>
      </c>
      <c r="C68" s="83"/>
      <c r="D68" s="83"/>
      <c r="E68" s="83"/>
      <c r="F68" s="83"/>
      <c r="G68" s="83"/>
      <c r="H68" s="86" t="n">
        <v>0.006</v>
      </c>
      <c r="I68" s="207" t="n">
        <f aca="false">ROUND(($I$43-$I$38)*H68,2)</f>
        <v>18.24</v>
      </c>
      <c r="K68" s="66"/>
    </row>
    <row r="69" customFormat="false" ht="15.75" hidden="false" customHeight="false" outlineLevel="0" collapsed="false">
      <c r="A69" s="90" t="s">
        <v>76</v>
      </c>
      <c r="B69" s="90"/>
      <c r="C69" s="90"/>
      <c r="D69" s="90"/>
      <c r="E69" s="90"/>
      <c r="F69" s="90"/>
      <c r="G69" s="90"/>
      <c r="H69" s="91" t="n">
        <f aca="false">SUM(H61:H68)</f>
        <v>0.353</v>
      </c>
      <c r="I69" s="219" t="n">
        <f aca="false">SUM(I61:I68)</f>
        <v>1073.3</v>
      </c>
      <c r="K69" s="66"/>
    </row>
    <row r="70" customFormat="false" ht="15.75" hidden="false" customHeight="false" outlineLevel="0" collapsed="false">
      <c r="A70" s="93" t="s">
        <v>77</v>
      </c>
      <c r="B70" s="93"/>
      <c r="C70" s="93"/>
      <c r="D70" s="93"/>
      <c r="E70" s="93"/>
      <c r="F70" s="93"/>
      <c r="G70" s="93"/>
      <c r="H70" s="93"/>
      <c r="I70" s="93"/>
    </row>
    <row r="71" customFormat="false" ht="15.75" hidden="false" customHeight="false" outlineLevel="0" collapsed="false">
      <c r="A71" s="94" t="s">
        <v>78</v>
      </c>
      <c r="B71" s="94"/>
      <c r="C71" s="94"/>
      <c r="D71" s="94"/>
      <c r="E71" s="94"/>
      <c r="F71" s="94"/>
      <c r="G71" s="94"/>
      <c r="H71" s="94"/>
      <c r="I71" s="94"/>
    </row>
    <row r="72" customFormat="false" ht="15.75" hidden="false" customHeight="false" outlineLevel="0" collapsed="false">
      <c r="A72" s="79" t="s">
        <v>79</v>
      </c>
      <c r="B72" s="79"/>
      <c r="C72" s="79"/>
      <c r="D72" s="79"/>
      <c r="E72" s="79"/>
      <c r="F72" s="79"/>
      <c r="G72" s="79"/>
      <c r="H72" s="79"/>
      <c r="I72" s="79"/>
    </row>
    <row r="73" customFormat="false" ht="15.75" hidden="false" customHeight="false" outlineLevel="0" collapsed="false">
      <c r="A73" s="62" t="s">
        <v>80</v>
      </c>
      <c r="B73" s="81" t="s">
        <v>81</v>
      </c>
      <c r="C73" s="81"/>
      <c r="D73" s="81"/>
      <c r="E73" s="81"/>
      <c r="F73" s="81"/>
      <c r="G73" s="81"/>
      <c r="H73" s="81"/>
      <c r="I73" s="204" t="s">
        <v>35</v>
      </c>
    </row>
    <row r="74" customFormat="false" ht="35.25" hidden="false" customHeight="true" outlineLevel="0" collapsed="false">
      <c r="A74" s="17" t="s">
        <v>8</v>
      </c>
      <c r="B74" s="95" t="s">
        <v>82</v>
      </c>
      <c r="C74" s="95"/>
      <c r="D74" s="95"/>
      <c r="E74" s="95"/>
      <c r="F74" s="95"/>
      <c r="G74" s="95"/>
      <c r="H74" s="95"/>
      <c r="I74" s="220" t="n">
        <f aca="false">ROUND(I43/12,2)</f>
        <v>286.38</v>
      </c>
      <c r="K74" s="66"/>
    </row>
    <row r="75" customFormat="false" ht="15.75" hidden="false" customHeight="false" outlineLevel="0" collapsed="false">
      <c r="A75" s="97" t="s">
        <v>83</v>
      </c>
      <c r="B75" s="97"/>
      <c r="C75" s="97"/>
      <c r="D75" s="97"/>
      <c r="E75" s="97"/>
      <c r="F75" s="97"/>
      <c r="G75" s="97"/>
      <c r="H75" s="97"/>
      <c r="I75" s="207" t="n">
        <f aca="false">SUM(I74:I74)</f>
        <v>286.38</v>
      </c>
      <c r="K75" s="66"/>
    </row>
    <row r="76" customFormat="false" ht="15.75" hidden="false" customHeight="false" outlineLevel="0" collapsed="false">
      <c r="A76" s="17" t="s">
        <v>10</v>
      </c>
      <c r="B76" s="83" t="s">
        <v>84</v>
      </c>
      <c r="C76" s="83"/>
      <c r="D76" s="83"/>
      <c r="E76" s="83"/>
      <c r="F76" s="83"/>
      <c r="G76" s="83"/>
      <c r="H76" s="83"/>
      <c r="I76" s="207" t="n">
        <f aca="false">ROUND(I75*H69,2)</f>
        <v>101.09</v>
      </c>
      <c r="K76" s="66"/>
    </row>
    <row r="77" customFormat="false" ht="15.75" hidden="false" customHeight="false" outlineLevel="0" collapsed="false">
      <c r="A77" s="60" t="s">
        <v>76</v>
      </c>
      <c r="B77" s="60"/>
      <c r="C77" s="60"/>
      <c r="D77" s="60"/>
      <c r="E77" s="60"/>
      <c r="F77" s="60"/>
      <c r="G77" s="60"/>
      <c r="H77" s="60"/>
      <c r="I77" s="210" t="n">
        <f aca="false">SUM(I75:I76)</f>
        <v>387.47</v>
      </c>
      <c r="K77" s="66"/>
    </row>
    <row r="78" customFormat="false" ht="15.75" hidden="false" customHeight="false" outlineLevel="0" collapsed="false">
      <c r="A78" s="79" t="s">
        <v>85</v>
      </c>
      <c r="B78" s="79"/>
      <c r="C78" s="79"/>
      <c r="D78" s="79"/>
      <c r="E78" s="79"/>
      <c r="F78" s="79"/>
      <c r="G78" s="79"/>
      <c r="H78" s="79"/>
      <c r="I78" s="79"/>
    </row>
    <row r="79" customFormat="false" ht="15.75" hidden="false" customHeight="false" outlineLevel="0" collapsed="false">
      <c r="A79" s="62" t="s">
        <v>86</v>
      </c>
      <c r="B79" s="81" t="s">
        <v>87</v>
      </c>
      <c r="C79" s="81"/>
      <c r="D79" s="81"/>
      <c r="E79" s="81"/>
      <c r="F79" s="81"/>
      <c r="G79" s="81"/>
      <c r="H79" s="81"/>
      <c r="I79" s="204" t="s">
        <v>35</v>
      </c>
    </row>
    <row r="80" customFormat="false" ht="15.75" hidden="false" customHeight="false" outlineLevel="0" collapsed="false">
      <c r="A80" s="17" t="s">
        <v>8</v>
      </c>
      <c r="B80" s="52" t="s">
        <v>88</v>
      </c>
      <c r="C80" s="52"/>
      <c r="D80" s="52"/>
      <c r="E80" s="52"/>
      <c r="F80" s="52"/>
      <c r="G80" s="52"/>
      <c r="H80" s="52"/>
      <c r="I80" s="75" t="n">
        <f aca="false">ROUND((((I43+I43/3)*(4/12))/12)*0.02,2)</f>
        <v>2.55</v>
      </c>
    </row>
    <row r="81" customFormat="false" ht="15.75" hidden="false" customHeight="false" outlineLevel="0" collapsed="false">
      <c r="A81" s="17" t="s">
        <v>10</v>
      </c>
      <c r="B81" s="83" t="s">
        <v>89</v>
      </c>
      <c r="C81" s="83"/>
      <c r="D81" s="83"/>
      <c r="E81" s="83"/>
      <c r="F81" s="83"/>
      <c r="G81" s="83"/>
      <c r="H81" s="83"/>
      <c r="I81" s="75" t="n">
        <f aca="false">ROUND(I80*H69,2)</f>
        <v>0.9</v>
      </c>
    </row>
    <row r="82" customFormat="false" ht="15.75" hidden="false" customHeight="false" outlineLevel="0" collapsed="false">
      <c r="A82" s="60" t="s">
        <v>76</v>
      </c>
      <c r="B82" s="60"/>
      <c r="C82" s="60"/>
      <c r="D82" s="60"/>
      <c r="E82" s="60"/>
      <c r="F82" s="60"/>
      <c r="G82" s="60"/>
      <c r="H82" s="60"/>
      <c r="I82" s="210" t="n">
        <f aca="false">SUM(I80:I81)</f>
        <v>3.45</v>
      </c>
    </row>
    <row r="83" customFormat="false" ht="15.75" hidden="false" customHeight="false" outlineLevel="0" collapsed="false">
      <c r="A83" s="79" t="s">
        <v>90</v>
      </c>
      <c r="B83" s="79"/>
      <c r="C83" s="79"/>
      <c r="D83" s="79"/>
      <c r="E83" s="79"/>
      <c r="F83" s="79"/>
      <c r="G83" s="79"/>
      <c r="H83" s="79"/>
      <c r="I83" s="79"/>
    </row>
    <row r="84" customFormat="false" ht="15.75" hidden="false" customHeight="false" outlineLevel="0" collapsed="false">
      <c r="A84" s="62" t="s">
        <v>91</v>
      </c>
      <c r="B84" s="81" t="s">
        <v>92</v>
      </c>
      <c r="C84" s="81"/>
      <c r="D84" s="81"/>
      <c r="E84" s="81"/>
      <c r="F84" s="81"/>
      <c r="G84" s="81"/>
      <c r="H84" s="81"/>
      <c r="I84" s="204" t="s">
        <v>35</v>
      </c>
    </row>
    <row r="85" customFormat="false" ht="25.5" hidden="false" customHeight="true" outlineLevel="0" collapsed="false">
      <c r="A85" s="17" t="s">
        <v>8</v>
      </c>
      <c r="B85" s="99" t="s">
        <v>93</v>
      </c>
      <c r="C85" s="99"/>
      <c r="D85" s="99"/>
      <c r="E85" s="99"/>
      <c r="F85" s="99"/>
      <c r="G85" s="99"/>
      <c r="H85" s="99"/>
      <c r="I85" s="207" t="n">
        <f aca="false">ROUND((I43/12)*(30/30)*0.05,2)</f>
        <v>14.32</v>
      </c>
    </row>
    <row r="86" customFormat="false" ht="15.75" hidden="false" customHeight="true" outlineLevel="0" collapsed="false">
      <c r="A86" s="17" t="s">
        <v>10</v>
      </c>
      <c r="B86" s="83" t="s">
        <v>94</v>
      </c>
      <c r="C86" s="83"/>
      <c r="D86" s="83"/>
      <c r="E86" s="83"/>
      <c r="F86" s="83"/>
      <c r="G86" s="83"/>
      <c r="H86" s="83"/>
      <c r="I86" s="207" t="n">
        <f aca="false">ROUND(I85*H66,2)</f>
        <v>1.15</v>
      </c>
    </row>
    <row r="87" customFormat="false" ht="49.5" hidden="false" customHeight="true" outlineLevel="0" collapsed="false">
      <c r="A87" s="17" t="s">
        <v>12</v>
      </c>
      <c r="B87" s="95" t="s">
        <v>95</v>
      </c>
      <c r="C87" s="95"/>
      <c r="D87" s="95"/>
      <c r="E87" s="95"/>
      <c r="F87" s="95"/>
      <c r="G87" s="95"/>
      <c r="H87" s="95"/>
      <c r="I87" s="220" t="n">
        <f aca="false">ROUND(0.0024*I43,2)</f>
        <v>8.25</v>
      </c>
      <c r="K87" s="66"/>
    </row>
    <row r="88" customFormat="false" ht="30.75" hidden="false" customHeight="true" outlineLevel="0" collapsed="false">
      <c r="A88" s="100" t="s">
        <v>14</v>
      </c>
      <c r="B88" s="99" t="s">
        <v>96</v>
      </c>
      <c r="C88" s="99"/>
      <c r="D88" s="99"/>
      <c r="E88" s="99"/>
      <c r="F88" s="99"/>
      <c r="G88" s="99"/>
      <c r="H88" s="99"/>
      <c r="I88" s="207" t="n">
        <v>0</v>
      </c>
      <c r="N88" s="101"/>
    </row>
    <row r="89" customFormat="false" ht="18" hidden="false" customHeight="true" outlineLevel="0" collapsed="false">
      <c r="A89" s="17" t="s">
        <v>40</v>
      </c>
      <c r="B89" s="83" t="s">
        <v>97</v>
      </c>
      <c r="C89" s="83"/>
      <c r="D89" s="83"/>
      <c r="E89" s="83"/>
      <c r="F89" s="83"/>
      <c r="G89" s="83"/>
      <c r="H89" s="83"/>
      <c r="I89" s="207" t="n">
        <f aca="false">ROUND(I88*H69,2)</f>
        <v>0</v>
      </c>
      <c r="J89" s="13"/>
      <c r="K89" s="13"/>
      <c r="L89" s="102"/>
    </row>
    <row r="90" customFormat="false" ht="48.75" hidden="false" customHeight="true" outlineLevel="0" collapsed="false">
      <c r="A90" s="17" t="s">
        <v>42</v>
      </c>
      <c r="B90" s="95" t="s">
        <v>98</v>
      </c>
      <c r="C90" s="95"/>
      <c r="D90" s="95"/>
      <c r="E90" s="95"/>
      <c r="F90" s="95"/>
      <c r="G90" s="95"/>
      <c r="H90" s="95"/>
      <c r="I90" s="220" t="n">
        <f aca="false">ROUND(0.0476*I43,2)</f>
        <v>163.58</v>
      </c>
      <c r="J90" s="13"/>
      <c r="K90" s="66"/>
      <c r="L90" s="13"/>
    </row>
    <row r="91" customFormat="false" ht="20.25" hidden="false" customHeight="true" outlineLevel="0" collapsed="false">
      <c r="A91" s="60" t="s">
        <v>76</v>
      </c>
      <c r="B91" s="60"/>
      <c r="C91" s="60"/>
      <c r="D91" s="60"/>
      <c r="E91" s="60"/>
      <c r="F91" s="60"/>
      <c r="G91" s="60"/>
      <c r="H91" s="60"/>
      <c r="I91" s="210" t="n">
        <f aca="false">SUM(I85:I90)</f>
        <v>187.3</v>
      </c>
    </row>
    <row r="92" customFormat="false" ht="20.25" hidden="false" customHeight="true" outlineLevel="0" collapsed="false">
      <c r="A92" s="79" t="s">
        <v>99</v>
      </c>
      <c r="B92" s="79"/>
      <c r="C92" s="79"/>
      <c r="D92" s="79"/>
      <c r="E92" s="79"/>
      <c r="F92" s="79"/>
      <c r="G92" s="79"/>
      <c r="H92" s="79"/>
      <c r="I92" s="79"/>
    </row>
    <row r="93" customFormat="false" ht="15.75" hidden="false" customHeight="false" outlineLevel="0" collapsed="false">
      <c r="A93" s="62" t="s">
        <v>100</v>
      </c>
      <c r="B93" s="81" t="s">
        <v>101</v>
      </c>
      <c r="C93" s="81"/>
      <c r="D93" s="81"/>
      <c r="E93" s="81"/>
      <c r="F93" s="81"/>
      <c r="G93" s="81"/>
      <c r="H93" s="81"/>
      <c r="I93" s="204" t="s">
        <v>35</v>
      </c>
    </row>
    <row r="94" customFormat="false" ht="49.5" hidden="false" customHeight="true" outlineLevel="0" collapsed="false">
      <c r="A94" s="17" t="s">
        <v>8</v>
      </c>
      <c r="B94" s="95" t="s">
        <v>102</v>
      </c>
      <c r="C94" s="95"/>
      <c r="D94" s="95"/>
      <c r="E94" s="95"/>
      <c r="F94" s="95"/>
      <c r="G94" s="95"/>
      <c r="H94" s="95"/>
      <c r="I94" s="220" t="n">
        <f aca="false">ROUND(0.121*I43,2)</f>
        <v>415.82</v>
      </c>
      <c r="K94" s="66"/>
    </row>
    <row r="95" customFormat="false" ht="17.25" hidden="false" customHeight="true" outlineLevel="0" collapsed="false">
      <c r="A95" s="17" t="s">
        <v>10</v>
      </c>
      <c r="B95" s="52" t="s">
        <v>103</v>
      </c>
      <c r="C95" s="52"/>
      <c r="D95" s="52"/>
      <c r="E95" s="52"/>
      <c r="F95" s="52"/>
      <c r="G95" s="52"/>
      <c r="H95" s="52"/>
      <c r="I95" s="207" t="n">
        <f aca="false">ROUND(((I43/30)*5)/12,2)</f>
        <v>47.73</v>
      </c>
    </row>
    <row r="96" customFormat="false" ht="16.5" hidden="false" customHeight="true" outlineLevel="0" collapsed="false">
      <c r="A96" s="17" t="s">
        <v>12</v>
      </c>
      <c r="B96" s="52" t="s">
        <v>104</v>
      </c>
      <c r="C96" s="52"/>
      <c r="D96" s="52"/>
      <c r="E96" s="52"/>
      <c r="F96" s="52"/>
      <c r="G96" s="52"/>
      <c r="H96" s="52"/>
      <c r="I96" s="207" t="n">
        <f aca="false">ROUND((((I43/30)*5)/12)*0.015,2)</f>
        <v>0.72</v>
      </c>
    </row>
    <row r="97" customFormat="false" ht="17.25" hidden="false" customHeight="true" outlineLevel="0" collapsed="false">
      <c r="A97" s="17" t="s">
        <v>14</v>
      </c>
      <c r="B97" s="52" t="s">
        <v>105</v>
      </c>
      <c r="C97" s="52"/>
      <c r="D97" s="52"/>
      <c r="E97" s="52"/>
      <c r="F97" s="52"/>
      <c r="G97" s="52"/>
      <c r="H97" s="52"/>
      <c r="I97" s="207" t="n">
        <f aca="false">ROUND(((I43/30)*2.96)/12,2)</f>
        <v>28.26</v>
      </c>
    </row>
    <row r="98" customFormat="false" ht="16.5" hidden="false" customHeight="true" outlineLevel="0" collapsed="false">
      <c r="A98" s="17" t="s">
        <v>40</v>
      </c>
      <c r="B98" s="52" t="s">
        <v>106</v>
      </c>
      <c r="C98" s="52"/>
      <c r="D98" s="52"/>
      <c r="E98" s="52"/>
      <c r="F98" s="52"/>
      <c r="G98" s="52"/>
      <c r="H98" s="52"/>
      <c r="I98" s="207" t="n">
        <f aca="false">ROUND((((I43/30)*15)/12)*0.0078,2)</f>
        <v>1.12</v>
      </c>
    </row>
    <row r="99" customFormat="false" ht="15.75" hidden="false" customHeight="false" outlineLevel="0" collapsed="false">
      <c r="A99" s="97" t="s">
        <v>83</v>
      </c>
      <c r="B99" s="97"/>
      <c r="C99" s="97"/>
      <c r="D99" s="97"/>
      <c r="E99" s="97"/>
      <c r="F99" s="97"/>
      <c r="G99" s="97"/>
      <c r="H99" s="97"/>
      <c r="I99" s="223" t="n">
        <f aca="false">SUM(I94:I98)</f>
        <v>493.65</v>
      </c>
      <c r="K99" s="66"/>
    </row>
    <row r="100" customFormat="false" ht="18" hidden="false" customHeight="true" outlineLevel="0" collapsed="false">
      <c r="A100" s="17" t="s">
        <v>70</v>
      </c>
      <c r="B100" s="83" t="s">
        <v>107</v>
      </c>
      <c r="C100" s="83"/>
      <c r="D100" s="83"/>
      <c r="E100" s="83"/>
      <c r="F100" s="83"/>
      <c r="G100" s="83"/>
      <c r="H100" s="83"/>
      <c r="I100" s="224" t="n">
        <f aca="false">ROUND(I99*H69,2)</f>
        <v>174.26</v>
      </c>
      <c r="K100" s="66"/>
    </row>
    <row r="101" customFormat="false" ht="15.75" hidden="false" customHeight="false" outlineLevel="0" collapsed="false">
      <c r="A101" s="60" t="s">
        <v>76</v>
      </c>
      <c r="B101" s="60"/>
      <c r="C101" s="60"/>
      <c r="D101" s="60"/>
      <c r="E101" s="60"/>
      <c r="F101" s="60"/>
      <c r="G101" s="60"/>
      <c r="H101" s="60"/>
      <c r="I101" s="210" t="n">
        <f aca="false">SUM(I99+I100)</f>
        <v>667.91</v>
      </c>
      <c r="K101" s="66"/>
    </row>
    <row r="102" customFormat="false" ht="15.75" hidden="false" customHeight="false" outlineLevel="0" collapsed="false">
      <c r="A102" s="104" t="s">
        <v>108</v>
      </c>
      <c r="B102" s="104"/>
      <c r="C102" s="104"/>
      <c r="D102" s="104"/>
      <c r="E102" s="104"/>
      <c r="F102" s="104"/>
      <c r="G102" s="104"/>
      <c r="H102" s="104"/>
      <c r="I102" s="104"/>
    </row>
    <row r="103" customFormat="false" ht="15.75" hidden="false" customHeight="false" outlineLevel="0" collapsed="false">
      <c r="A103" s="62" t="n">
        <v>4</v>
      </c>
      <c r="B103" s="81" t="s">
        <v>109</v>
      </c>
      <c r="C103" s="81"/>
      <c r="D103" s="81"/>
      <c r="E103" s="81"/>
      <c r="F103" s="81"/>
      <c r="G103" s="81"/>
      <c r="H103" s="81"/>
      <c r="I103" s="204" t="s">
        <v>35</v>
      </c>
    </row>
    <row r="104" customFormat="false" ht="15.75" hidden="false" customHeight="false" outlineLevel="0" collapsed="false">
      <c r="A104" s="17" t="s">
        <v>61</v>
      </c>
      <c r="B104" s="83" t="s">
        <v>62</v>
      </c>
      <c r="C104" s="83"/>
      <c r="D104" s="83"/>
      <c r="E104" s="83"/>
      <c r="F104" s="83"/>
      <c r="G104" s="83"/>
      <c r="H104" s="83"/>
      <c r="I104" s="75" t="n">
        <f aca="false">I69</f>
        <v>1073.3</v>
      </c>
    </row>
    <row r="105" customFormat="false" ht="15.75" hidden="false" customHeight="false" outlineLevel="0" collapsed="false">
      <c r="A105" s="17" t="s">
        <v>80</v>
      </c>
      <c r="B105" s="83" t="s">
        <v>110</v>
      </c>
      <c r="C105" s="83"/>
      <c r="D105" s="83"/>
      <c r="E105" s="83"/>
      <c r="F105" s="83"/>
      <c r="G105" s="83"/>
      <c r="H105" s="83"/>
      <c r="I105" s="75" t="n">
        <f aca="false">I77</f>
        <v>387.47</v>
      </c>
    </row>
    <row r="106" customFormat="false" ht="15.75" hidden="false" customHeight="false" outlineLevel="0" collapsed="false">
      <c r="A106" s="17" t="s">
        <v>86</v>
      </c>
      <c r="B106" s="83" t="s">
        <v>87</v>
      </c>
      <c r="C106" s="83"/>
      <c r="D106" s="83"/>
      <c r="E106" s="83"/>
      <c r="F106" s="83"/>
      <c r="G106" s="83"/>
      <c r="H106" s="83"/>
      <c r="I106" s="75" t="n">
        <f aca="false">I82</f>
        <v>3.45</v>
      </c>
    </row>
    <row r="107" customFormat="false" ht="15.75" hidden="false" customHeight="false" outlineLevel="0" collapsed="false">
      <c r="A107" s="17" t="s">
        <v>91</v>
      </c>
      <c r="B107" s="83" t="s">
        <v>111</v>
      </c>
      <c r="C107" s="83"/>
      <c r="D107" s="83"/>
      <c r="E107" s="83"/>
      <c r="F107" s="83"/>
      <c r="G107" s="83"/>
      <c r="H107" s="83"/>
      <c r="I107" s="75" t="n">
        <f aca="false">I91</f>
        <v>187.3</v>
      </c>
    </row>
    <row r="108" customFormat="false" ht="15.75" hidden="false" customHeight="false" outlineLevel="0" collapsed="false">
      <c r="A108" s="17" t="s">
        <v>100</v>
      </c>
      <c r="B108" s="83" t="s">
        <v>112</v>
      </c>
      <c r="C108" s="83"/>
      <c r="D108" s="83"/>
      <c r="E108" s="83"/>
      <c r="F108" s="83"/>
      <c r="G108" s="83"/>
      <c r="H108" s="83"/>
      <c r="I108" s="75" t="n">
        <f aca="false">I101</f>
        <v>667.91</v>
      </c>
    </row>
    <row r="109" customFormat="false" ht="15.75" hidden="false" customHeight="false" outlineLevel="0" collapsed="false">
      <c r="A109" s="60" t="s">
        <v>76</v>
      </c>
      <c r="B109" s="60"/>
      <c r="C109" s="60"/>
      <c r="D109" s="60"/>
      <c r="E109" s="60"/>
      <c r="F109" s="60"/>
      <c r="G109" s="60"/>
      <c r="H109" s="60"/>
      <c r="I109" s="210" t="n">
        <f aca="false">SUM(I104:I108)</f>
        <v>2319.43</v>
      </c>
      <c r="K109" s="106"/>
    </row>
    <row r="110" customFormat="false" ht="24.75" hidden="false" customHeight="true" outlineLevel="0" collapsed="false">
      <c r="A110" s="107" t="s">
        <v>113</v>
      </c>
      <c r="B110" s="107"/>
      <c r="C110" s="107"/>
      <c r="D110" s="107"/>
      <c r="E110" s="107"/>
      <c r="F110" s="107"/>
      <c r="G110" s="107"/>
      <c r="H110" s="107"/>
      <c r="I110" s="107"/>
    </row>
    <row r="111" customFormat="false" ht="17.25" hidden="false" customHeight="true" outlineLevel="0" collapsed="false">
      <c r="A111" s="62" t="n">
        <v>5</v>
      </c>
      <c r="B111" s="63" t="s">
        <v>114</v>
      </c>
      <c r="C111" s="63"/>
      <c r="D111" s="63"/>
      <c r="E111" s="63"/>
      <c r="F111" s="63"/>
      <c r="G111" s="63"/>
      <c r="H111" s="108" t="s">
        <v>63</v>
      </c>
      <c r="I111" s="204" t="s">
        <v>35</v>
      </c>
    </row>
    <row r="112" customFormat="false" ht="53.25" hidden="false" customHeight="true" outlineLevel="0" collapsed="false">
      <c r="A112" s="109" t="s">
        <v>115</v>
      </c>
      <c r="B112" s="109"/>
      <c r="C112" s="109"/>
      <c r="D112" s="109"/>
      <c r="E112" s="109"/>
      <c r="F112" s="109"/>
      <c r="G112" s="109"/>
      <c r="H112" s="110" t="n">
        <v>0</v>
      </c>
      <c r="I112" s="226" t="n">
        <f aca="false">(I43+I52+I57+I109)</f>
        <v>6791.37225</v>
      </c>
    </row>
    <row r="113" customFormat="false" ht="15.75" hidden="false" customHeight="false" outlineLevel="0" collapsed="false">
      <c r="A113" s="17" t="s">
        <v>8</v>
      </c>
      <c r="B113" s="83" t="s">
        <v>116</v>
      </c>
      <c r="C113" s="83"/>
      <c r="D113" s="83"/>
      <c r="E113" s="83"/>
      <c r="F113" s="83"/>
      <c r="G113" s="83"/>
      <c r="H113" s="112" t="n">
        <f aca="false">'Alegrete 1.1'!H110</f>
        <v>0.1207</v>
      </c>
      <c r="I113" s="207" t="n">
        <f aca="false">ROUND(I112*H113,2)</f>
        <v>819.72</v>
      </c>
      <c r="J113" s="113"/>
    </row>
    <row r="114" customFormat="false" ht="51.75" hidden="false" customHeight="true" outlineLevel="0" collapsed="false">
      <c r="A114" s="109" t="s">
        <v>117</v>
      </c>
      <c r="B114" s="109"/>
      <c r="C114" s="109"/>
      <c r="D114" s="109"/>
      <c r="E114" s="109"/>
      <c r="F114" s="109"/>
      <c r="G114" s="109"/>
      <c r="H114" s="114" t="n">
        <v>0</v>
      </c>
      <c r="I114" s="228" t="n">
        <f aca="false">I112+I113</f>
        <v>7611.09225</v>
      </c>
      <c r="J114" s="113"/>
    </row>
    <row r="115" customFormat="false" ht="15.75" hidden="false" customHeight="false" outlineLevel="0" collapsed="false">
      <c r="A115" s="17" t="s">
        <v>10</v>
      </c>
      <c r="B115" s="83" t="s">
        <v>118</v>
      </c>
      <c r="C115" s="83"/>
      <c r="D115" s="83"/>
      <c r="E115" s="83"/>
      <c r="F115" s="83"/>
      <c r="G115" s="83"/>
      <c r="H115" s="112" t="n">
        <f aca="false">'Alegrete 1.1'!H112</f>
        <v>0.0818</v>
      </c>
      <c r="I115" s="207" t="n">
        <f aca="false">ROUND(I114*H115,2)</f>
        <v>622.59</v>
      </c>
      <c r="J115" s="116"/>
    </row>
    <row r="116" customFormat="false" ht="57.75" hidden="false" customHeight="true" outlineLevel="0" collapsed="false">
      <c r="A116" s="109" t="s">
        <v>119</v>
      </c>
      <c r="B116" s="109"/>
      <c r="C116" s="109"/>
      <c r="D116" s="109"/>
      <c r="E116" s="109"/>
      <c r="F116" s="109"/>
      <c r="G116" s="109"/>
      <c r="H116" s="117" t="n">
        <v>0</v>
      </c>
      <c r="I116" s="231" t="n">
        <f aca="false">I114+I115</f>
        <v>8233.68225</v>
      </c>
      <c r="J116" s="116"/>
    </row>
    <row r="117" customFormat="false" ht="15.75" hidden="false" customHeight="false" outlineLevel="0" collapsed="false">
      <c r="A117" s="17" t="s">
        <v>12</v>
      </c>
      <c r="B117" s="83" t="s">
        <v>120</v>
      </c>
      <c r="C117" s="83"/>
      <c r="D117" s="83"/>
      <c r="E117" s="83"/>
      <c r="F117" s="83"/>
      <c r="G117" s="83"/>
      <c r="H117" s="119" t="s">
        <v>198</v>
      </c>
      <c r="I117" s="232" t="s">
        <v>198</v>
      </c>
      <c r="J117" s="116"/>
    </row>
    <row r="118" customFormat="false" ht="15.75" hidden="false" customHeight="false" outlineLevel="0" collapsed="false">
      <c r="A118" s="17"/>
      <c r="B118" s="83" t="s">
        <v>121</v>
      </c>
      <c r="C118" s="83"/>
      <c r="D118" s="83"/>
      <c r="E118" s="83"/>
      <c r="F118" s="83"/>
      <c r="G118" s="83"/>
      <c r="H118" s="119" t="s">
        <v>198</v>
      </c>
      <c r="I118" s="232" t="s">
        <v>198</v>
      </c>
    </row>
    <row r="119" customFormat="false" ht="32.25" hidden="false" customHeight="true" outlineLevel="0" collapsed="false">
      <c r="A119" s="17"/>
      <c r="B119" s="67" t="s">
        <v>199</v>
      </c>
      <c r="C119" s="67"/>
      <c r="D119" s="67"/>
      <c r="E119" s="67"/>
      <c r="F119" s="67"/>
      <c r="G119" s="67"/>
      <c r="H119" s="121" t="n">
        <v>0.03</v>
      </c>
      <c r="I119" s="207" t="n">
        <f aca="false">ROUND(($I$116/(1-H126))*H119,2)</f>
        <v>270.4</v>
      </c>
    </row>
    <row r="120" customFormat="false" ht="23.25" hidden="false" customHeight="true" outlineLevel="0" collapsed="false">
      <c r="A120" s="17"/>
      <c r="B120" s="67" t="s">
        <v>200</v>
      </c>
      <c r="C120" s="67"/>
      <c r="D120" s="67"/>
      <c r="E120" s="67"/>
      <c r="F120" s="67"/>
      <c r="G120" s="67"/>
      <c r="H120" s="121" t="n">
        <v>0.0065</v>
      </c>
      <c r="I120" s="207" t="n">
        <f aca="false">ROUND(($I$116/(1-H126))*H120,2)</f>
        <v>58.59</v>
      </c>
      <c r="K120" s="66"/>
    </row>
    <row r="121" customFormat="false" ht="31.5" hidden="false" customHeight="true" outlineLevel="0" collapsed="false">
      <c r="A121" s="17"/>
      <c r="B121" s="122" t="s">
        <v>124</v>
      </c>
      <c r="C121" s="122"/>
      <c r="D121" s="122"/>
      <c r="E121" s="122"/>
      <c r="F121" s="122"/>
      <c r="G121" s="122"/>
      <c r="H121" s="121" t="s">
        <v>198</v>
      </c>
      <c r="I121" s="232" t="s">
        <v>198</v>
      </c>
      <c r="K121" s="66"/>
    </row>
    <row r="122" customFormat="false" ht="18" hidden="false" customHeight="true" outlineLevel="0" collapsed="false">
      <c r="A122" s="17"/>
      <c r="B122" s="83" t="s">
        <v>125</v>
      </c>
      <c r="C122" s="83"/>
      <c r="D122" s="83"/>
      <c r="E122" s="83"/>
      <c r="F122" s="83"/>
      <c r="G122" s="83"/>
      <c r="H122" s="119" t="s">
        <v>198</v>
      </c>
      <c r="I122" s="232" t="s">
        <v>198</v>
      </c>
    </row>
    <row r="123" customFormat="false" ht="15.75" hidden="false" customHeight="false" outlineLevel="0" collapsed="false">
      <c r="A123" s="17"/>
      <c r="B123" s="83" t="s">
        <v>126</v>
      </c>
      <c r="C123" s="83"/>
      <c r="D123" s="83"/>
      <c r="E123" s="83"/>
      <c r="F123" s="83"/>
      <c r="G123" s="83"/>
      <c r="H123" s="119" t="s">
        <v>198</v>
      </c>
      <c r="I123" s="232" t="s">
        <v>198</v>
      </c>
      <c r="K123" s="66"/>
    </row>
    <row r="124" customFormat="false" ht="15.75" hidden="false" customHeight="false" outlineLevel="0" collapsed="false">
      <c r="A124" s="17"/>
      <c r="B124" s="52" t="s">
        <v>230</v>
      </c>
      <c r="C124" s="52"/>
      <c r="D124" s="52"/>
      <c r="E124" s="52"/>
      <c r="F124" s="52"/>
      <c r="G124" s="52"/>
      <c r="H124" s="124" t="n">
        <v>0.05</v>
      </c>
      <c r="I124" s="207" t="n">
        <f aca="false">ROUND(($I$116/(1-H126))*H124,2)</f>
        <v>450.67</v>
      </c>
    </row>
    <row r="125" customFormat="false" ht="15.75" hidden="false" customHeight="false" outlineLevel="0" collapsed="false">
      <c r="A125" s="125" t="s">
        <v>76</v>
      </c>
      <c r="B125" s="125"/>
      <c r="C125" s="125"/>
      <c r="D125" s="125"/>
      <c r="E125" s="125"/>
      <c r="F125" s="125"/>
      <c r="G125" s="125"/>
      <c r="H125" s="125"/>
      <c r="I125" s="234" t="n">
        <f aca="false">I113+I115+I119+I120+I124</f>
        <v>2221.97</v>
      </c>
    </row>
    <row r="126" customFormat="false" ht="15.75" hidden="false" customHeight="false" outlineLevel="0" collapsed="false">
      <c r="A126" s="127" t="s">
        <v>128</v>
      </c>
      <c r="B126" s="127"/>
      <c r="C126" s="127"/>
      <c r="D126" s="127"/>
      <c r="E126" s="127"/>
      <c r="F126" s="127"/>
      <c r="G126" s="127"/>
      <c r="H126" s="128" t="n">
        <f aca="false">SUM(H119:H124)</f>
        <v>0.0865</v>
      </c>
      <c r="I126" s="235" t="n">
        <f aca="false">SUM(I119+I120+I124)</f>
        <v>779.66</v>
      </c>
    </row>
    <row r="127" customFormat="false" ht="15.75" hidden="false" customHeight="false" outlineLevel="0" collapsed="false">
      <c r="A127" s="130" t="s">
        <v>129</v>
      </c>
      <c r="B127" s="130"/>
      <c r="C127" s="293" t="s">
        <v>130</v>
      </c>
      <c r="D127" s="293"/>
      <c r="E127" s="293"/>
      <c r="F127" s="293"/>
      <c r="G127" s="293"/>
      <c r="H127" s="293"/>
      <c r="I127" s="293"/>
    </row>
    <row r="128" customFormat="false" ht="15" hidden="false" customHeight="false" outlineLevel="0" collapsed="false">
      <c r="A128" s="130"/>
      <c r="B128" s="130"/>
      <c r="C128" s="294" t="s">
        <v>131</v>
      </c>
      <c r="D128" s="294"/>
      <c r="E128" s="294"/>
      <c r="F128" s="294"/>
      <c r="G128" s="294"/>
      <c r="H128" s="294"/>
      <c r="I128" s="294"/>
    </row>
    <row r="129" customFormat="false" ht="15.75" hidden="false" customHeight="false" outlineLevel="0" collapsed="false">
      <c r="A129" s="133" t="s">
        <v>132</v>
      </c>
      <c r="B129" s="133"/>
      <c r="C129" s="133"/>
      <c r="D129" s="133"/>
      <c r="E129" s="133"/>
      <c r="F129" s="133"/>
      <c r="G129" s="133"/>
      <c r="H129" s="133"/>
      <c r="I129" s="133"/>
    </row>
    <row r="130" customFormat="false" ht="15.75" hidden="false" customHeight="false" outlineLevel="0" collapsed="false">
      <c r="A130" s="94" t="s">
        <v>133</v>
      </c>
      <c r="B130" s="94"/>
      <c r="C130" s="94"/>
      <c r="D130" s="94"/>
      <c r="E130" s="94"/>
      <c r="F130" s="94"/>
      <c r="G130" s="94"/>
      <c r="H130" s="94"/>
      <c r="I130" s="94"/>
    </row>
    <row r="131" customFormat="false" ht="15.75" hidden="false" customHeight="false" outlineLevel="0" collapsed="false">
      <c r="A131" s="295"/>
      <c r="B131" s="295"/>
      <c r="C131" s="295"/>
      <c r="D131" s="295"/>
      <c r="E131" s="295"/>
      <c r="F131" s="295"/>
      <c r="G131" s="295"/>
      <c r="H131" s="295"/>
      <c r="I131" s="295"/>
    </row>
    <row r="132" customFormat="false" ht="15.75" hidden="false" customHeight="false" outlineLevel="0" collapsed="false">
      <c r="A132" s="33" t="s">
        <v>134</v>
      </c>
      <c r="B132" s="33"/>
      <c r="C132" s="33"/>
      <c r="D132" s="33"/>
      <c r="E132" s="33"/>
      <c r="F132" s="33"/>
      <c r="G132" s="33"/>
      <c r="H132" s="33"/>
      <c r="I132" s="33"/>
    </row>
    <row r="133" customFormat="false" ht="15.75" hidden="false" customHeight="false" outlineLevel="0" collapsed="false">
      <c r="A133" s="135" t="s">
        <v>135</v>
      </c>
      <c r="B133" s="135"/>
      <c r="C133" s="135"/>
      <c r="D133" s="135"/>
      <c r="E133" s="135"/>
      <c r="F133" s="135"/>
      <c r="G133" s="135"/>
      <c r="H133" s="135"/>
      <c r="I133" s="135"/>
    </row>
    <row r="134" customFormat="false" ht="15.75" hidden="false" customHeight="false" outlineLevel="0" collapsed="false">
      <c r="A134" s="136" t="s">
        <v>136</v>
      </c>
      <c r="B134" s="136"/>
      <c r="C134" s="136"/>
      <c r="D134" s="136"/>
      <c r="E134" s="136"/>
      <c r="F134" s="136"/>
      <c r="G134" s="136"/>
      <c r="H134" s="136"/>
      <c r="I134" s="313" t="s">
        <v>35</v>
      </c>
    </row>
    <row r="135" customFormat="false" ht="15.75" hidden="false" customHeight="false" outlineLevel="0" collapsed="false">
      <c r="A135" s="14" t="s">
        <v>8</v>
      </c>
      <c r="B135" s="15" t="s">
        <v>137</v>
      </c>
      <c r="C135" s="15"/>
      <c r="D135" s="15"/>
      <c r="E135" s="15"/>
      <c r="F135" s="15"/>
      <c r="G135" s="15"/>
      <c r="H135" s="15"/>
      <c r="I135" s="314" t="n">
        <f aca="false">I43</f>
        <v>3436.516</v>
      </c>
    </row>
    <row r="136" customFormat="false" ht="15.75" hidden="false" customHeight="false" outlineLevel="0" collapsed="false">
      <c r="A136" s="14" t="s">
        <v>10</v>
      </c>
      <c r="B136" s="15" t="s">
        <v>138</v>
      </c>
      <c r="C136" s="15"/>
      <c r="D136" s="15"/>
      <c r="E136" s="15"/>
      <c r="F136" s="15"/>
      <c r="G136" s="15"/>
      <c r="H136" s="15"/>
      <c r="I136" s="314" t="n">
        <f aca="false">I52</f>
        <v>897.75</v>
      </c>
    </row>
    <row r="137" customFormat="false" ht="15.75" hidden="false" customHeight="false" outlineLevel="0" collapsed="false">
      <c r="A137" s="14" t="s">
        <v>12</v>
      </c>
      <c r="B137" s="15" t="s">
        <v>139</v>
      </c>
      <c r="C137" s="15"/>
      <c r="D137" s="15"/>
      <c r="E137" s="15"/>
      <c r="F137" s="15"/>
      <c r="G137" s="15"/>
      <c r="H137" s="15"/>
      <c r="I137" s="315" t="n">
        <f aca="false">I57</f>
        <v>137.67625</v>
      </c>
    </row>
    <row r="138" customFormat="false" ht="15.75" hidden="false" customHeight="false" outlineLevel="0" collapsed="false">
      <c r="A138" s="14" t="s">
        <v>14</v>
      </c>
      <c r="B138" s="15" t="s">
        <v>109</v>
      </c>
      <c r="C138" s="15"/>
      <c r="D138" s="15"/>
      <c r="E138" s="15"/>
      <c r="F138" s="15"/>
      <c r="G138" s="15"/>
      <c r="H138" s="15"/>
      <c r="I138" s="314" t="n">
        <f aca="false">I109</f>
        <v>2319.43</v>
      </c>
    </row>
    <row r="139" customFormat="false" ht="15.75" hidden="false" customHeight="false" outlineLevel="0" collapsed="false">
      <c r="A139" s="140" t="s">
        <v>140</v>
      </c>
      <c r="B139" s="140"/>
      <c r="C139" s="140"/>
      <c r="D139" s="140"/>
      <c r="E139" s="140"/>
      <c r="F139" s="140"/>
      <c r="G139" s="140"/>
      <c r="H139" s="140"/>
      <c r="I139" s="316" t="n">
        <f aca="false">SUM(I135:I138)</f>
        <v>6791.37225</v>
      </c>
    </row>
    <row r="140" customFormat="false" ht="15.75" hidden="false" customHeight="false" outlineLevel="0" collapsed="false">
      <c r="A140" s="14" t="s">
        <v>40</v>
      </c>
      <c r="B140" s="15" t="s">
        <v>141</v>
      </c>
      <c r="C140" s="15"/>
      <c r="D140" s="15"/>
      <c r="E140" s="15"/>
      <c r="F140" s="15"/>
      <c r="G140" s="15"/>
      <c r="H140" s="15"/>
      <c r="I140" s="314" t="n">
        <f aca="false">I125</f>
        <v>2221.97</v>
      </c>
    </row>
    <row r="141" customFormat="false" ht="15.75" hidden="false" customHeight="false" outlineLevel="0" collapsed="false">
      <c r="A141" s="143" t="s">
        <v>142</v>
      </c>
      <c r="B141" s="143"/>
      <c r="C141" s="143"/>
      <c r="D141" s="143"/>
      <c r="E141" s="143"/>
      <c r="F141" s="143"/>
      <c r="G141" s="143"/>
      <c r="H141" s="143"/>
      <c r="I141" s="317" t="n">
        <f aca="false">SUM(I139+I140)</f>
        <v>9013.34225</v>
      </c>
    </row>
    <row r="142" customFormat="false" ht="15.75" hidden="false" customHeight="false" outlineLevel="0" collapsed="false">
      <c r="A142" s="301"/>
      <c r="B142" s="301"/>
      <c r="C142" s="301"/>
      <c r="D142" s="301"/>
      <c r="E142" s="301"/>
      <c r="F142" s="301"/>
      <c r="G142" s="301"/>
      <c r="H142" s="301"/>
      <c r="I142" s="301"/>
    </row>
    <row r="143" customFormat="false" ht="15.75" hidden="false" customHeight="false" outlineLevel="0" collapsed="false">
      <c r="A143" s="33" t="s">
        <v>143</v>
      </c>
      <c r="B143" s="33"/>
      <c r="C143" s="33"/>
      <c r="D143" s="33"/>
      <c r="E143" s="33"/>
      <c r="F143" s="33"/>
      <c r="G143" s="33"/>
      <c r="H143" s="33"/>
      <c r="I143" s="33"/>
    </row>
    <row r="144" customFormat="false" ht="15.75" hidden="false" customHeight="false" outlineLevel="0" collapsed="false">
      <c r="A144" s="146" t="s">
        <v>144</v>
      </c>
      <c r="B144" s="146"/>
      <c r="C144" s="146"/>
      <c r="D144" s="146"/>
      <c r="E144" s="146"/>
      <c r="F144" s="146"/>
      <c r="G144" s="146"/>
      <c r="H144" s="146"/>
      <c r="I144" s="146"/>
    </row>
    <row r="145" customFormat="false" ht="47.25" hidden="false" customHeight="true" outlineLevel="0" collapsed="false">
      <c r="A145" s="147" t="s">
        <v>145</v>
      </c>
      <c r="B145" s="147"/>
      <c r="C145" s="148" t="s">
        <v>146</v>
      </c>
      <c r="D145" s="148"/>
      <c r="E145" s="149" t="s">
        <v>147</v>
      </c>
      <c r="F145" s="148" t="s">
        <v>148</v>
      </c>
      <c r="G145" s="148"/>
      <c r="H145" s="148" t="s">
        <v>149</v>
      </c>
      <c r="I145" s="247" t="s">
        <v>150</v>
      </c>
    </row>
    <row r="146" customFormat="false" ht="39" hidden="false" customHeight="true" outlineLevel="0" collapsed="false">
      <c r="A146" s="151" t="s">
        <v>26</v>
      </c>
      <c r="B146" s="151"/>
      <c r="C146" s="152" t="n">
        <f aca="false">I141</f>
        <v>9013.34225</v>
      </c>
      <c r="D146" s="152"/>
      <c r="E146" s="153" t="n">
        <v>2</v>
      </c>
      <c r="F146" s="154" t="n">
        <f aca="false">C146</f>
        <v>9013.34225</v>
      </c>
      <c r="G146" s="154"/>
      <c r="H146" s="155" t="n">
        <v>1</v>
      </c>
      <c r="I146" s="253" t="n">
        <f aca="false">F146*H146</f>
        <v>9013.34225</v>
      </c>
    </row>
    <row r="147" customFormat="false" ht="15.75" hidden="false" customHeight="false" outlineLevel="0" collapsed="false">
      <c r="A147" s="301"/>
      <c r="B147" s="301"/>
      <c r="C147" s="301"/>
      <c r="D147" s="301"/>
      <c r="E147" s="301"/>
      <c r="F147" s="301"/>
      <c r="G147" s="301"/>
      <c r="H147" s="301"/>
      <c r="I147" s="301"/>
    </row>
    <row r="148" customFormat="false" ht="15.75" hidden="false" customHeight="false" outlineLevel="0" collapsed="false">
      <c r="A148" s="33" t="s">
        <v>151</v>
      </c>
      <c r="B148" s="33"/>
      <c r="C148" s="33"/>
      <c r="D148" s="33"/>
      <c r="E148" s="33"/>
      <c r="F148" s="33"/>
      <c r="G148" s="33"/>
      <c r="H148" s="33"/>
      <c r="I148" s="33"/>
    </row>
    <row r="149" customFormat="false" ht="15.75" hidden="false" customHeight="false" outlineLevel="0" collapsed="false">
      <c r="A149" s="146" t="s">
        <v>152</v>
      </c>
      <c r="B149" s="146"/>
      <c r="C149" s="146"/>
      <c r="D149" s="146"/>
      <c r="E149" s="146"/>
      <c r="F149" s="146"/>
      <c r="G149" s="146"/>
      <c r="H149" s="146"/>
      <c r="I149" s="146"/>
    </row>
    <row r="150" customFormat="false" ht="15.75" hidden="false" customHeight="false" outlineLevel="0" collapsed="false">
      <c r="A150" s="157" t="s">
        <v>153</v>
      </c>
      <c r="B150" s="157"/>
      <c r="C150" s="157"/>
      <c r="D150" s="157"/>
      <c r="E150" s="157"/>
      <c r="F150" s="157"/>
      <c r="G150" s="157"/>
      <c r="H150" s="157"/>
      <c r="I150" s="157"/>
    </row>
    <row r="151" customFormat="false" ht="15.75" hidden="false" customHeight="false" outlineLevel="0" collapsed="false">
      <c r="A151" s="158" t="s">
        <v>8</v>
      </c>
      <c r="B151" s="15" t="s">
        <v>154</v>
      </c>
      <c r="C151" s="15"/>
      <c r="D151" s="15"/>
      <c r="E151" s="15"/>
      <c r="F151" s="15"/>
      <c r="G151" s="15"/>
      <c r="H151" s="15"/>
      <c r="I151" s="318" t="n">
        <f aca="false">F146</f>
        <v>9013.34225</v>
      </c>
    </row>
    <row r="152" customFormat="false" ht="15.75" hidden="false" customHeight="false" outlineLevel="0" collapsed="false">
      <c r="A152" s="158" t="s">
        <v>10</v>
      </c>
      <c r="B152" s="15" t="s">
        <v>155</v>
      </c>
      <c r="C152" s="15"/>
      <c r="D152" s="15"/>
      <c r="E152" s="15"/>
      <c r="F152" s="15"/>
      <c r="G152" s="15"/>
      <c r="H152" s="15"/>
      <c r="I152" s="319" t="n">
        <f aca="false">I146</f>
        <v>9013.34225</v>
      </c>
    </row>
    <row r="153" customFormat="false" ht="16.5" hidden="false" customHeight="true" outlineLevel="0" collapsed="false">
      <c r="A153" s="161" t="s">
        <v>12</v>
      </c>
      <c r="B153" s="162" t="s">
        <v>156</v>
      </c>
      <c r="C153" s="162"/>
      <c r="D153" s="162"/>
      <c r="E153" s="162"/>
      <c r="F153" s="162"/>
      <c r="G153" s="162"/>
      <c r="H153" s="162"/>
      <c r="I153" s="320" t="n">
        <f aca="false">I152*12</f>
        <v>108160.107</v>
      </c>
    </row>
  </sheetData>
  <mergeCells count="158">
    <mergeCell ref="A8:I8"/>
    <mergeCell ref="A9:I9"/>
    <mergeCell ref="A10:I10"/>
    <mergeCell ref="A11:I11"/>
    <mergeCell ref="A12:I12"/>
    <mergeCell ref="A13:I13"/>
    <mergeCell ref="A14:I14"/>
    <mergeCell ref="B15:H15"/>
    <mergeCell ref="B16:H16"/>
    <mergeCell ref="B17:H17"/>
    <mergeCell ref="B18:H18"/>
    <mergeCell ref="A19:I19"/>
    <mergeCell ref="A20:D20"/>
    <mergeCell ref="E20:F20"/>
    <mergeCell ref="G20:I20"/>
    <mergeCell ref="A21:D21"/>
    <mergeCell ref="E21:F22"/>
    <mergeCell ref="G21:I22"/>
    <mergeCell ref="A22:D22"/>
    <mergeCell ref="B23:I23"/>
    <mergeCell ref="A24:I24"/>
    <mergeCell ref="A25:I25"/>
    <mergeCell ref="A26:I26"/>
    <mergeCell ref="B27:H27"/>
    <mergeCell ref="B28:H28"/>
    <mergeCell ref="B29:H29"/>
    <mergeCell ref="B30:H30"/>
    <mergeCell ref="B31:H31"/>
    <mergeCell ref="B32:H32"/>
    <mergeCell ref="B33:H33"/>
    <mergeCell ref="A34:I34"/>
    <mergeCell ref="A35:I35"/>
    <mergeCell ref="B36:H36"/>
    <mergeCell ref="B37:H37"/>
    <mergeCell ref="B38:H38"/>
    <mergeCell ref="B39:H39"/>
    <mergeCell ref="B40:H40"/>
    <mergeCell ref="B41:H41"/>
    <mergeCell ref="B42:H42"/>
    <mergeCell ref="A43:H43"/>
    <mergeCell ref="A44:I44"/>
    <mergeCell ref="B45:H45"/>
    <mergeCell ref="A46:A48"/>
    <mergeCell ref="B46:H46"/>
    <mergeCell ref="B47:G47"/>
    <mergeCell ref="B48:G48"/>
    <mergeCell ref="A49:A50"/>
    <mergeCell ref="B49:H49"/>
    <mergeCell ref="B50:G50"/>
    <mergeCell ref="B51:H51"/>
    <mergeCell ref="A52:H52"/>
    <mergeCell ref="A53:I53"/>
    <mergeCell ref="A54:I54"/>
    <mergeCell ref="B55:H55"/>
    <mergeCell ref="B56:H56"/>
    <mergeCell ref="A57:H57"/>
    <mergeCell ref="A58:I58"/>
    <mergeCell ref="A59:I59"/>
    <mergeCell ref="B60:G60"/>
    <mergeCell ref="B61:G61"/>
    <mergeCell ref="B62:G62"/>
    <mergeCell ref="B63:G63"/>
    <mergeCell ref="B64:G64"/>
    <mergeCell ref="B65:G65"/>
    <mergeCell ref="B66:G66"/>
    <mergeCell ref="B67:E67"/>
    <mergeCell ref="B68:G68"/>
    <mergeCell ref="A69:G69"/>
    <mergeCell ref="A70:I70"/>
    <mergeCell ref="A71:I71"/>
    <mergeCell ref="A72:I72"/>
    <mergeCell ref="B73:H73"/>
    <mergeCell ref="B74:H74"/>
    <mergeCell ref="A75:H75"/>
    <mergeCell ref="B76:H76"/>
    <mergeCell ref="A77:H77"/>
    <mergeCell ref="A78:I78"/>
    <mergeCell ref="B79:H79"/>
    <mergeCell ref="B80:H80"/>
    <mergeCell ref="B81:H81"/>
    <mergeCell ref="A82:H82"/>
    <mergeCell ref="A83:I83"/>
    <mergeCell ref="B84:H84"/>
    <mergeCell ref="B85:H85"/>
    <mergeCell ref="B86:H86"/>
    <mergeCell ref="B87:H87"/>
    <mergeCell ref="B88:H88"/>
    <mergeCell ref="B89:H89"/>
    <mergeCell ref="B90:H90"/>
    <mergeCell ref="A91:H91"/>
    <mergeCell ref="A92:I92"/>
    <mergeCell ref="B93:H93"/>
    <mergeCell ref="B94:H94"/>
    <mergeCell ref="B95:H95"/>
    <mergeCell ref="B96:H96"/>
    <mergeCell ref="B97:H97"/>
    <mergeCell ref="B98:H98"/>
    <mergeCell ref="A99:H99"/>
    <mergeCell ref="B100:H100"/>
    <mergeCell ref="A101:H101"/>
    <mergeCell ref="A102:I102"/>
    <mergeCell ref="B103:H103"/>
    <mergeCell ref="B104:H104"/>
    <mergeCell ref="B105:H105"/>
    <mergeCell ref="B106:H106"/>
    <mergeCell ref="B107:H107"/>
    <mergeCell ref="B108:H108"/>
    <mergeCell ref="A109:H109"/>
    <mergeCell ref="A110:I110"/>
    <mergeCell ref="B111:G111"/>
    <mergeCell ref="A112:G112"/>
    <mergeCell ref="B113:G113"/>
    <mergeCell ref="A114:G114"/>
    <mergeCell ref="B115:G115"/>
    <mergeCell ref="A116:G116"/>
    <mergeCell ref="A117:A124"/>
    <mergeCell ref="B117:G117"/>
    <mergeCell ref="B118:G118"/>
    <mergeCell ref="B119:G119"/>
    <mergeCell ref="B120:G120"/>
    <mergeCell ref="B121:G121"/>
    <mergeCell ref="B122:G122"/>
    <mergeCell ref="B123:G123"/>
    <mergeCell ref="B124:G124"/>
    <mergeCell ref="A125:H125"/>
    <mergeCell ref="A126:G126"/>
    <mergeCell ref="A127:B128"/>
    <mergeCell ref="C127:I127"/>
    <mergeCell ref="C128:I128"/>
    <mergeCell ref="A129:I129"/>
    <mergeCell ref="A130:I130"/>
    <mergeCell ref="A131:I131"/>
    <mergeCell ref="A132:I132"/>
    <mergeCell ref="A133:I133"/>
    <mergeCell ref="A134:H134"/>
    <mergeCell ref="B135:H135"/>
    <mergeCell ref="B136:H136"/>
    <mergeCell ref="B137:H137"/>
    <mergeCell ref="B138:H138"/>
    <mergeCell ref="A139:H139"/>
    <mergeCell ref="B140:H140"/>
    <mergeCell ref="A141:H141"/>
    <mergeCell ref="A142:I142"/>
    <mergeCell ref="A143:I143"/>
    <mergeCell ref="A144:I144"/>
    <mergeCell ref="A145:B145"/>
    <mergeCell ref="C145:D145"/>
    <mergeCell ref="F145:G145"/>
    <mergeCell ref="A146:B146"/>
    <mergeCell ref="C146:D146"/>
    <mergeCell ref="F146:G146"/>
    <mergeCell ref="A147:I147"/>
    <mergeCell ref="A148:I148"/>
    <mergeCell ref="A149:I149"/>
    <mergeCell ref="A150:I150"/>
    <mergeCell ref="B151:H151"/>
    <mergeCell ref="B152:H152"/>
    <mergeCell ref="B153:H153"/>
  </mergeCells>
  <printOptions headings="false" gridLines="false" gridLinesSet="true" horizontalCentered="false" verticalCentered="false"/>
  <pageMargins left="0.698611111111111" right="0.698611111111111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7" man="true" max="16383" min="0"/>
    <brk id="109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855</TotalTime>
  <Application>LibreOffice/5.3.3.2$Windows_x86 LibreOffice_project/3d9a8b4b4e538a85e0782bd6c2d430bafe583448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2013-05-06T17:07:00Z</dcterms:created>
  <dc:creator>leonardopaixao</dc:creator>
  <dc:description/>
  <dc:language>pt-BR</dc:language>
  <cp:lastModifiedBy/>
  <dcterms:modified xsi:type="dcterms:W3CDTF">2019-04-11T15:43:26Z</dcterms:modified>
  <cp:revision>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KSOProductBuildVer">
    <vt:lpwstr>1046-10.2.0.6080</vt:lpwstr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